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ΣΤΕΓΑΣΗ" sheetId="1" r:id="rId1"/>
  </sheets>
  <definedNames>
    <definedName name="_xlnm._FilterDatabase" localSheetId="0" hidden="1">'ΣΤΕΓΑΣΗ'!$A$3:$CN$92</definedName>
    <definedName name="_xlnm.Print_Area" localSheetId="0">'ΣΤΕΓΑΣΗ'!$B$1:$AH$100</definedName>
    <definedName name="_xlnm.Print_Titles" localSheetId="0">'ΣΤΕΓΑΣΗ'!$3:$3</definedName>
  </definedNames>
  <calcPr fullCalcOnLoad="1"/>
</workbook>
</file>

<file path=xl/sharedStrings.xml><?xml version="1.0" encoding="utf-8"?>
<sst xmlns="http://schemas.openxmlformats.org/spreadsheetml/2006/main" count="325" uniqueCount="196">
  <si>
    <t>Α/Α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</si>
  <si>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</si>
  <si>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</si>
  <si>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</si>
  <si>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</si>
  <si>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</si>
  <si>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</si>
  <si>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</si>
  <si>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ΠΟΛΥΤΕΚΝΟΙ (ΠΙΣΤΟΠΟΙΗΤΙΚΟ ΠΟΛΥΤΕΚΝΙΑΣ ΑΠΌ ΤΗΝ ΑΝΩΤΑΤΗ ΣΥΝΟΜΟΣΠΟΝΔΙΑ ΠΟΛΥΤΕΚΝΩΝ)</t>
  </si>
  <si>
    <t>ΑΔΕΛΦΟΣ/Η ΦΟΙΤΗΤΗΣ/ΤΡΙΑ (0 υπότροφο) ή ΣΤΡΑΤΙΩΤΗΣ, =&gt; ΒΕΒΑΙΩΣΗ ΤΜΗΜΑΤΟΣ Ή ΒΕΒ. ΌΤΙ ΥΠΗΡΕΤΕΙ ΤΗΝ ΣΤΡΑΤ.ΘΗΤΕΙΑ</t>
  </si>
  <si>
    <t>Ελεύθεροι επαγγελματίες &amp; Λοιπά εισοδήματα</t>
  </si>
  <si>
    <t>Προσωπικό Εισόδημα</t>
  </si>
  <si>
    <t>Τελικό κατακεφαλή εισόδημα</t>
  </si>
  <si>
    <t>Ορφανός από 1 γονέα</t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</si>
  <si>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</si>
  <si>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</si>
  <si>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r>
      <t xml:space="preserve">Εκπτώσεις από </t>
    </r>
    <r>
      <rPr>
        <b/>
        <sz val="8"/>
        <color indexed="10"/>
        <rFont val="Arial"/>
        <family val="2"/>
      </rPr>
      <t>άνεργο στο</t>
    </r>
    <r>
      <rPr>
        <b/>
        <sz val="8"/>
        <rFont val="Arial"/>
        <family val="2"/>
      </rPr>
      <t xml:space="preserve"> κατακεφαλή εισόδημα (30%)</t>
    </r>
  </si>
  <si>
    <t>ΤΕΚΜΑΡΤΟ ΕΙΣΟΔΗΜΑ</t>
  </si>
  <si>
    <t xml:space="preserve">ΣΥΝΟΛΙΚΟ ΕΙΣΟΔΗΜΑ </t>
  </si>
  <si>
    <t>Α.Μ.</t>
  </si>
  <si>
    <t>ΛΠΜ</t>
  </si>
  <si>
    <t>ΤΓ</t>
  </si>
  <si>
    <t>ΙΩΑΝΝΙΝΑ</t>
  </si>
  <si>
    <t>ΑΘΗΝΑ</t>
  </si>
  <si>
    <t>ΜΠ</t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</si>
  <si>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αδέρφια &lt;24 ή των  &lt;28 αν σπουδάζουν)</t>
    </r>
  </si>
  <si>
    <t>ΘΕΣΣΑΛΟΝΙΚΗ</t>
  </si>
  <si>
    <r>
      <t xml:space="preserve">Εκπτώσεις </t>
    </r>
    <r>
      <rPr>
        <b/>
        <sz val="8"/>
        <color indexed="10"/>
        <rFont val="Arial"/>
        <family val="2"/>
      </rPr>
      <t>από σπουδές ή στρατ. Θητεία Αδερφών</t>
    </r>
    <r>
      <rPr>
        <b/>
        <sz val="8"/>
        <rFont val="Arial"/>
        <family val="2"/>
      </rPr>
      <t xml:space="preserve"> στο κατακεφαλή εισόδημα (30%)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</si>
  <si>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ορφανός από 1 γονέα </t>
    </r>
    <r>
      <rPr>
        <b/>
        <sz val="8"/>
        <rFont val="Arial"/>
        <family val="2"/>
      </rPr>
      <t>στο κατακεφαλή εισόδημα (20%)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</si>
  <si>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μονογονεική </t>
    </r>
    <r>
      <rPr>
        <b/>
        <sz val="8"/>
        <rFont val="Arial"/>
        <family val="2"/>
      </rPr>
      <t>κατακεφαλή εισόδημα (10%)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</si>
  <si>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αναπηρία γονέων &gt; 67% </t>
    </r>
    <r>
      <rPr>
        <b/>
        <sz val="8"/>
        <rFont val="Arial"/>
        <family val="2"/>
      </rPr>
      <t>στο κατακεφαλή εισόδημα (30%)</t>
    </r>
  </si>
  <si>
    <t>Εισόδημα αγροτών (ΜΕΙΩΣΗ 15%)</t>
  </si>
  <si>
    <t>Εισόδημα από Μισθωτές Υπηρεσίες Γονέων (Δημόσιο και ιδιωτικό τομέα και συνταξιούχων &amp; ταμείο ανεργίας) (ΜEIΩΣΗ 50%)</t>
  </si>
  <si>
    <t>ΚΕΦΑΛΑ ΝΙΚΟΛΕΤΑ-ΑΓΓΕΛΙΚΗ</t>
  </si>
  <si>
    <t>1246/16.09.14</t>
  </si>
  <si>
    <t>ΑΓΙΟ ΠΝΕΥΜΑ ΣΕΡΡΩΝ</t>
  </si>
  <si>
    <t>ΓΚΟΥΛΙΑΜΤΖΗΣ ΧΑΡΑΛΑΜΠΟΣ</t>
  </si>
  <si>
    <t>1372/22.09.14</t>
  </si>
  <si>
    <t>900/15.09.15</t>
  </si>
  <si>
    <t>904/15.09.15</t>
  </si>
  <si>
    <t>ΜΑΛΑΜΑΤΑ ΦΩΚΙΔΑΣ</t>
  </si>
  <si>
    <t>ΒΕΛΒΕΝΤΟ ΚΟΖΑΝΗΣ</t>
  </si>
  <si>
    <t>959/16.09.15</t>
  </si>
  <si>
    <t>ΒΡΑΓΙΑ ΚΟΜΟΤΗΝΗΣ</t>
  </si>
  <si>
    <t>945/16.09.15</t>
  </si>
  <si>
    <t>910/15.09.15</t>
  </si>
  <si>
    <t>913/15.09.15</t>
  </si>
  <si>
    <t>ΔΡΑΜΑ</t>
  </si>
  <si>
    <t>907/15.09.15</t>
  </si>
  <si>
    <t>898/15.09.15</t>
  </si>
  <si>
    <t>ΛΕΠΙΑΝΑ ΑΡΤΑΣ</t>
  </si>
  <si>
    <t>851/14.09.15</t>
  </si>
  <si>
    <t>858/14.09.15</t>
  </si>
  <si>
    <t>ΣΕΡΡΕΣ</t>
  </si>
  <si>
    <t>855/14.09.15</t>
  </si>
  <si>
    <t>861/14.09.15</t>
  </si>
  <si>
    <t>ΡΙΟ ΠΑΤΡΩΝ</t>
  </si>
  <si>
    <t>864/14.09.15</t>
  </si>
  <si>
    <t>ΕΥΟΣΜΟΣ</t>
  </si>
  <si>
    <t>871/15.09.15</t>
  </si>
  <si>
    <t>ΚΑΛΑΜΑΡΙΑ</t>
  </si>
  <si>
    <t>872/15.09.15</t>
  </si>
  <si>
    <t>876/15.09.15</t>
  </si>
  <si>
    <t>1168/21.09.15</t>
  </si>
  <si>
    <t>ΝΟΤΙΑ ΑΛΜΩΠΙΑ</t>
  </si>
  <si>
    <t>879/15.09.15</t>
  </si>
  <si>
    <t>ΛΕΙΒΑΔΙΑ</t>
  </si>
  <si>
    <t>890/15.09.15</t>
  </si>
  <si>
    <t>ΦΩΤΟΤΥΠΙΑ ΑΣΤΥΝΟΜΙΚΗΣ ΤΑΥΤΟΤΗΤΑΣ ή ΠΙΣΤΟΠΟΙΗΤΙΚΟ ΓΕΝΝΗΣΗΣ ΑΠΌ ΤΟΝ ΟΙΚΕΙΟ ΔΗΜΟ</t>
  </si>
  <si>
    <t>ΑΓΡΙΝΙΟ</t>
  </si>
  <si>
    <t>893/15.09.15</t>
  </si>
  <si>
    <t>895/15.09.15</t>
  </si>
  <si>
    <t>ΜΟΝΕΜΒΑΣΙΑ</t>
  </si>
  <si>
    <t>1453/28.09.15</t>
  </si>
  <si>
    <t>ΑΝΩΓΕΙΑ ΡΕΘΥΜΝΗΣ</t>
  </si>
  <si>
    <t>1247/22.09.15</t>
  </si>
  <si>
    <t>ΤΡΙΠΟΛΗ</t>
  </si>
  <si>
    <t>1441/28.09.15</t>
  </si>
  <si>
    <t>ΣΑΓΕΪΚΑ ΑΧΑΪΑΣ</t>
  </si>
  <si>
    <t>1455/28.09.15</t>
  </si>
  <si>
    <t>ΕΛΑΤΕΙΑ ΦΘΙΩΤΙΔΟΣ</t>
  </si>
  <si>
    <t>1323/30.09.15</t>
  </si>
  <si>
    <t>1520/30.09.15</t>
  </si>
  <si>
    <t>1193/21.09.15</t>
  </si>
  <si>
    <t>ΠΡΕΒΕΖΑ</t>
  </si>
  <si>
    <t>ΚΟΖΑΝΗ</t>
  </si>
  <si>
    <t>1525/30.09.15</t>
  </si>
  <si>
    <t>1443/28.09.15</t>
  </si>
  <si>
    <t>1439/28.09.15</t>
  </si>
  <si>
    <t>ΒΟΝΙΤΣΑ</t>
  </si>
  <si>
    <t>1423/28.09.15</t>
  </si>
  <si>
    <t>ΡΟΔΟΤΟΠΙ ΙΩΑΝΝΙΝΩΝ</t>
  </si>
  <si>
    <t>1421/25.09.15</t>
  </si>
  <si>
    <t>ΚΑΛΑΒΡΥΤΑ</t>
  </si>
  <si>
    <t>1318/23.09.15</t>
  </si>
  <si>
    <t>ΚΑΡΔΙΤΣΑ</t>
  </si>
  <si>
    <t>1420/25.09.15</t>
  </si>
  <si>
    <t>ΒΡΕΣΤΟ ΗΛΕΙΑΣ</t>
  </si>
  <si>
    <t>1396/25.09.15</t>
  </si>
  <si>
    <t>1405/25.09.15</t>
  </si>
  <si>
    <t>1399/25.09.15</t>
  </si>
  <si>
    <t>ΑΤΤΙΚΗ</t>
  </si>
  <si>
    <t>1412/25.09.15</t>
  </si>
  <si>
    <t>1403/25.09.15</t>
  </si>
  <si>
    <t>ΠΟΥΛΙΤΣΑ ΚΟΡΙΝΘΙΑΣ</t>
  </si>
  <si>
    <t>1394/25.09.15</t>
  </si>
  <si>
    <t>ΠΑΡΟΣ</t>
  </si>
  <si>
    <t>1392/25.09.15</t>
  </si>
  <si>
    <t>ΚΑΒΑΣΙΛΑ ΗΛΕΙΑΣ</t>
  </si>
  <si>
    <t>1442/28.09.15</t>
  </si>
  <si>
    <t>ΚΙΣΣΑΜΟΣ ΧΑΝΙΩΝ</t>
  </si>
  <si>
    <t>1460/28.09.15</t>
  </si>
  <si>
    <t>ΕΚΚΑΘΑΡΙΣΤΙΚΟ ΣΗΜΕΙΩΜΑ ΤΟΥ ΤΡΕΧΟΝΤΟΣ ΕΤΟΥΣ ΓΙΑ ΤΟ ΟΙΚ.ΕΙΣΟΔΗΜΑ ΤΩΝ ΓΟΝΙΩΝ &amp; ΤΟ ΑΝΤΙΣΤΟΙΧΟ ΕΚΚ.ΣΗΜ. ΕΦΟΣΟΝ ΥΠΟΒΑΛΛΟΥΝ ΟΙ ΙΔΙΟΙ ΦΟΡ.ΔΗΛΩΣΗ</t>
  </si>
  <si>
    <r>
      <t xml:space="preserve">ΛΟΓΟΙ ΥΓΕΙΑΣ Ή ΑΝΑΠΗΡΙΑΣ </t>
    </r>
    <r>
      <rPr>
        <b/>
        <sz val="8"/>
        <color indexed="10"/>
        <rFont val="Arial"/>
        <family val="2"/>
      </rPr>
      <t>Γονέων άνω 67%</t>
    </r>
    <r>
      <rPr>
        <b/>
        <sz val="8"/>
        <rFont val="Arial"/>
        <family val="2"/>
      </rPr>
      <t xml:space="preserve"> (ΒΕΒΑΙΩΣΗ ΑΠΌ ΑΡΜΟΔΙΑ ΔΗΜΟΣΙΑ ΥΓΕΙΟΝΟΜΙΚΗ ΕΠΙΤΡΟΠΗ (Α΄ή Β βαθμια - αν ισχύουν δίνετε τιμή 1)</t>
    </r>
  </si>
  <si>
    <t>1507/29.09.15</t>
  </si>
  <si>
    <t>ΓΥΜΝΟ ΕΥΒΟΙΑΣ</t>
  </si>
  <si>
    <t>1102/18.09.15</t>
  </si>
  <si>
    <t>1177/21.09.15</t>
  </si>
  <si>
    <t>1182/21.09.15</t>
  </si>
  <si>
    <t>ΚΑΡΠΑΘΟΣ</t>
  </si>
  <si>
    <t>1536/01.10.15</t>
  </si>
  <si>
    <t>ΧΙΟΣ</t>
  </si>
  <si>
    <t>1186/21.09.15</t>
  </si>
  <si>
    <t>1195/21.09.15</t>
  </si>
  <si>
    <t>ΑΡΓΥΡΑΔΕΣ ΚΕΡΚΥΡΑΣ</t>
  </si>
  <si>
    <t>1189/21.09.15</t>
  </si>
  <si>
    <t>ΛΙΔΩΡΙΚΙ ΦΩΚΙΔΑΣ</t>
  </si>
  <si>
    <t>1087/18.09.15</t>
  </si>
  <si>
    <t>1220/21.09.15</t>
  </si>
  <si>
    <t>1222/21.09.15</t>
  </si>
  <si>
    <t>1238/22.0915</t>
  </si>
  <si>
    <t>1236/22.09.15</t>
  </si>
  <si>
    <t>1121/18.09.15</t>
  </si>
  <si>
    <t>1105/18.09.15</t>
  </si>
  <si>
    <t>1080/18.09.15</t>
  </si>
  <si>
    <t>1081/18.09.15</t>
  </si>
  <si>
    <t>1032/17.09.15</t>
  </si>
  <si>
    <t>1037/17.09.15</t>
  </si>
  <si>
    <t>1046/17.09.15</t>
  </si>
  <si>
    <t>1060/17.09.15</t>
  </si>
  <si>
    <t>995/17.09.15</t>
  </si>
  <si>
    <t>1010/17.09.15</t>
  </si>
  <si>
    <t>980/16.09.15</t>
  </si>
  <si>
    <t>971/16.09.15</t>
  </si>
  <si>
    <t>934/15.09.15</t>
  </si>
  <si>
    <t>1256/22.09.15</t>
  </si>
  <si>
    <t>1159/21.09.15</t>
  </si>
  <si>
    <t>1155/21.09.15</t>
  </si>
  <si>
    <t>ΚΟΡΔΕΛΙΟ ΘΕΣ/ΚΗΣ</t>
  </si>
  <si>
    <t>ΠΕΔΙΝΗ ΙΩΑΝΝΙΝΩΝ</t>
  </si>
  <si>
    <t>ΜΕΣΟΠΥΡΓΟΣ ΑΡΤΑΣ</t>
  </si>
  <si>
    <t>ΠΛΑΤΥ ΗΜΑΘΕΙΑΣ</t>
  </si>
  <si>
    <t>ΚΑΤΣΙΚΑ ΙΩΑΝΝΙΝΩΝ</t>
  </si>
  <si>
    <t>ΠΑΤΡΑ</t>
  </si>
  <si>
    <t>ΚΟΥΤΣΕΛΙΟ ΙΩΑΝΝΙΝΩΝ</t>
  </si>
  <si>
    <t>ΚΑΣΤΟΡΙΑ</t>
  </si>
  <si>
    <t>ΓΛΥΚΗ ΘΕΣΠΡΩΤΙΑΣ</t>
  </si>
  <si>
    <t>1124/18.09.15</t>
  </si>
  <si>
    <t>1128/18.09.15</t>
  </si>
  <si>
    <t>ΙΩΑΝΝΙΝΑ-ΣΤΑΥΡΑΚΙ</t>
  </si>
  <si>
    <t>989/17.09.15</t>
  </si>
  <si>
    <t>ΛΕΥΚΟΠΕΤΡΑ ΞΑΝΘΗΣ</t>
  </si>
  <si>
    <t>983/16.09.15</t>
  </si>
  <si>
    <t>ΕΛΕΟΥΣΑ ΙΩΑΝΝΙΝΩΝ</t>
  </si>
  <si>
    <t>958/16.09.15</t>
  </si>
  <si>
    <t>ΚΑΙΝΟΥΡΓΙΟ ΑΙΤ/ΝΙΑΣ</t>
  </si>
  <si>
    <t>946/16.09.15</t>
  </si>
  <si>
    <t>ΛΑΜΙΑ</t>
  </si>
  <si>
    <t>950/16.09.15</t>
  </si>
  <si>
    <t>ΚΕΡΚΥΡΑ</t>
  </si>
  <si>
    <t>1251/22.09.15</t>
  </si>
  <si>
    <t>ΚΟΜΟΤΗΝΗ</t>
  </si>
  <si>
    <t>1268/22.09.15</t>
  </si>
  <si>
    <t>1283/22.09.15</t>
  </si>
  <si>
    <t>1304/23.09.15</t>
  </si>
  <si>
    <t>ΠΑΝΑΙΤΩΛΙΟ ΑΓΡΙΝΙΟΥ</t>
  </si>
  <si>
    <t>1196/21.09.15</t>
  </si>
  <si>
    <t>ΚΟΡΙΝΘΟΣ</t>
  </si>
  <si>
    <t>1337/23.09.15</t>
  </si>
  <si>
    <t>1331/23.09.15</t>
  </si>
  <si>
    <t>Π. ΖΥΓΟΣ ΞΑΝΘΗΣ</t>
  </si>
  <si>
    <t>1326/23.09.15</t>
  </si>
  <si>
    <t>1340/24.09.15</t>
  </si>
  <si>
    <t>ΣΚΥΔΡΑ ΕΔΕΣΣΑΣ</t>
  </si>
  <si>
    <t>1352/24.09.15</t>
  </si>
  <si>
    <t>1172/21.09.15</t>
  </si>
  <si>
    <t>Ν. ΜΗΧΑΝΙΩΝΑ ΘΕΣ/ΚΗΣ</t>
  </si>
  <si>
    <t>1362/24.09.15</t>
  </si>
  <si>
    <t>ΣΤΑΥΡΑΚΙ ΙΩΑΝΝΙΝΩΝ</t>
  </si>
  <si>
    <t>1364/24.09.15</t>
  </si>
  <si>
    <t>ΚΑΡΔΙΑΘΕΣΣΑΛΟΝΙΚΗΣ</t>
  </si>
  <si>
    <t>ελλιπή δικαιολογητικά</t>
  </si>
  <si>
    <t>ΑΠΟΡΡΙΠΤΕΟΙ</t>
  </si>
  <si>
    <t>&gt;25 ετών</t>
  </si>
  <si>
    <t>ΚΑΤΑΣΤΑΣΗ ΣΤΕΓΑΣΗΣ ΠΡΩΤΟΕΤΩΝ ΦΟΙΤΗΤΩΝ ΤΕΙ ΗΠΕΙΡΟΥ ΣΤΗΝ ΑΡΤΑ ΑΚΑΔΗΜΑΪΚΟΥ ΕΤΟΥΣ 2014-2015 (κατά κεφαλήν εισόδημα)</t>
  </si>
  <si>
    <t>Οικογενειακό κατά κεφαλήν εισόδημα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</si>
</sst>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#,##0.000"/>
    <numFmt numFmtId="167" formatCode="#,##0.0"/>
    <numFmt numFmtId="168" formatCode="0.000"/>
    <numFmt numFmtId="169" formatCode="0.0000"/>
    <numFmt numFmtId="170" formatCode="[$-408]dddd\,\ d\ mmmm\ yyyy"/>
    <numFmt numFmtId="171" formatCode="0.000%"/>
    <numFmt numFmtId="172" formatCode="0.0%"/>
    <numFmt numFmtId="173" formatCode="[$-408]h:mm:ss\ AM/PM"/>
    <numFmt numFmtId="174" formatCode="0.0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49"/>
      <name val="Arial"/>
      <family val="2"/>
    </font>
    <font>
      <b/>
      <sz val="8"/>
      <color indexed="10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b/>
      <sz val="10"/>
      <color indexed="4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2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7" borderId="1" applyNumberFormat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textRotation="90" wrapText="1"/>
    </xf>
    <xf numFmtId="0" fontId="10" fillId="32" borderId="11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textRotation="90"/>
    </xf>
    <xf numFmtId="0" fontId="5" fillId="32" borderId="11" xfId="0" applyFont="1" applyFill="1" applyBorder="1" applyAlignment="1">
      <alignment horizontal="center" vertical="center" textRotation="90" wrapText="1"/>
    </xf>
    <xf numFmtId="0" fontId="8" fillId="32" borderId="12" xfId="0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right" wrapText="1"/>
    </xf>
    <xf numFmtId="165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164" fontId="12" fillId="0" borderId="11" xfId="0" applyNumberFormat="1" applyFont="1" applyFill="1" applyBorder="1" applyAlignment="1">
      <alignment wrapText="1"/>
    </xf>
    <xf numFmtId="0" fontId="8" fillId="34" borderId="11" xfId="0" applyFont="1" applyFill="1" applyBorder="1" applyAlignment="1">
      <alignment horizontal="center" vertical="center" textRotation="90" wrapText="1"/>
    </xf>
    <xf numFmtId="2" fontId="7" fillId="0" borderId="11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32" borderId="11" xfId="0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3" fillId="33" borderId="13" xfId="0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165" fontId="7" fillId="34" borderId="11" xfId="0" applyNumberFormat="1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165" fontId="7" fillId="0" borderId="11" xfId="0" applyNumberFormat="1" applyFont="1" applyBorder="1" applyAlignment="1">
      <alignment wrapText="1"/>
    </xf>
    <xf numFmtId="2" fontId="7" fillId="0" borderId="11" xfId="0" applyNumberFormat="1" applyFont="1" applyBorder="1" applyAlignment="1">
      <alignment wrapText="1"/>
    </xf>
    <xf numFmtId="4" fontId="14" fillId="0" borderId="11" xfId="0" applyNumberFormat="1" applyFont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165" fontId="7" fillId="0" borderId="11" xfId="0" applyNumberFormat="1" applyFont="1" applyFill="1" applyBorder="1" applyAlignment="1">
      <alignment horizontal="right" wrapText="1"/>
    </xf>
    <xf numFmtId="0" fontId="5" fillId="10" borderId="10" xfId="0" applyFont="1" applyFill="1" applyBorder="1" applyAlignment="1">
      <alignment horizontal="center"/>
    </xf>
    <xf numFmtId="165" fontId="7" fillId="34" borderId="11" xfId="0" applyNumberFormat="1" applyFont="1" applyFill="1" applyBorder="1" applyAlignment="1">
      <alignment horizontal="right" wrapText="1"/>
    </xf>
    <xf numFmtId="0" fontId="5" fillId="10" borderId="0" xfId="0" applyFont="1" applyFill="1" applyAlignment="1">
      <alignment/>
    </xf>
    <xf numFmtId="0" fontId="4" fillId="10" borderId="0" xfId="0" applyFont="1" applyFill="1" applyAlignment="1">
      <alignment/>
    </xf>
    <xf numFmtId="164" fontId="7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horizontal="right"/>
    </xf>
    <xf numFmtId="165" fontId="7" fillId="0" borderId="11" xfId="0" applyNumberFormat="1" applyFont="1" applyBorder="1" applyAlignment="1">
      <alignment horizontal="right" wrapText="1"/>
    </xf>
    <xf numFmtId="4" fontId="8" fillId="0" borderId="11" xfId="0" applyNumberFormat="1" applyFont="1" applyBorder="1" applyAlignment="1">
      <alignment wrapText="1"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164" fontId="15" fillId="0" borderId="11" xfId="0" applyNumberFormat="1" applyFont="1" applyFill="1" applyBorder="1" applyAlignment="1">
      <alignment wrapText="1"/>
    </xf>
    <xf numFmtId="0" fontId="14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14" fillId="0" borderId="11" xfId="0" applyNumberFormat="1" applyFont="1" applyBorder="1" applyAlignment="1">
      <alignment/>
    </xf>
    <xf numFmtId="164" fontId="16" fillId="0" borderId="11" xfId="0" applyNumberFormat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0" fontId="14" fillId="0" borderId="11" xfId="0" applyFont="1" applyBorder="1" applyAlignment="1">
      <alignment horizontal="center"/>
    </xf>
    <xf numFmtId="4" fontId="14" fillId="0" borderId="11" xfId="0" applyNumberFormat="1" applyFont="1" applyBorder="1" applyAlignment="1">
      <alignment wrapText="1"/>
    </xf>
    <xf numFmtId="4" fontId="14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8" fontId="58" fillId="0" borderId="0" xfId="0" applyNumberFormat="1" applyFont="1" applyFill="1" applyAlignment="1">
      <alignment/>
    </xf>
    <xf numFmtId="4" fontId="8" fillId="0" borderId="11" xfId="0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164" fontId="8" fillId="0" borderId="0" xfId="0" applyNumberFormat="1" applyFont="1" applyFill="1" applyBorder="1" applyAlignment="1">
      <alignment wrapText="1"/>
    </xf>
    <xf numFmtId="0" fontId="4" fillId="0" borderId="11" xfId="0" applyFont="1" applyBorder="1" applyAlignment="1">
      <alignment/>
    </xf>
    <xf numFmtId="164" fontId="12" fillId="0" borderId="0" xfId="0" applyNumberFormat="1" applyFont="1" applyFill="1" applyBorder="1" applyAlignment="1">
      <alignment wrapText="1"/>
    </xf>
    <xf numFmtId="4" fontId="16" fillId="0" borderId="11" xfId="0" applyNumberFormat="1" applyFont="1" applyBorder="1" applyAlignment="1">
      <alignment wrapText="1"/>
    </xf>
    <xf numFmtId="164" fontId="7" fillId="0" borderId="12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59" fillId="0" borderId="11" xfId="0" applyFont="1" applyFill="1" applyBorder="1" applyAlignment="1">
      <alignment horizontal="right" wrapText="1"/>
    </xf>
    <xf numFmtId="0" fontId="18" fillId="0" borderId="11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98"/>
  <sheetViews>
    <sheetView tabSelected="1" view="pageBreakPreview" zoomScaleNormal="75" zoomScaleSheetLayoutView="100" zoomScalePageLayoutView="0" workbookViewId="0" topLeftCell="B1">
      <pane ySplit="3" topLeftCell="A4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6.28125" style="1" hidden="1" customWidth="1"/>
    <col min="2" max="2" width="6.00390625" style="13" customWidth="1"/>
    <col min="3" max="3" width="9.28125" style="2" bestFit="1" customWidth="1"/>
    <col min="4" max="4" width="4.8515625" style="2" customWidth="1"/>
    <col min="5" max="5" width="5.57421875" style="2" customWidth="1"/>
    <col min="6" max="6" width="17.57421875" style="2" customWidth="1"/>
    <col min="7" max="19" width="5.421875" style="2" customWidth="1"/>
    <col min="20" max="22" width="13.421875" style="2" customWidth="1"/>
    <col min="23" max="23" width="15.7109375" style="2" customWidth="1"/>
    <col min="24" max="24" width="0.13671875" style="2" hidden="1" customWidth="1"/>
    <col min="25" max="25" width="2.140625" style="2" hidden="1" customWidth="1"/>
    <col min="26" max="26" width="16.00390625" style="2" customWidth="1"/>
    <col min="27" max="32" width="13.421875" style="2" customWidth="1"/>
    <col min="33" max="33" width="19.421875" style="26" bestFit="1" customWidth="1"/>
    <col min="34" max="34" width="15.8515625" style="2" bestFit="1" customWidth="1"/>
    <col min="35" max="90" width="9.140625" style="3" customWidth="1"/>
    <col min="91" max="91" width="9.28125" style="3" bestFit="1" customWidth="1"/>
    <col min="92" max="92" width="9.140625" style="3" customWidth="1"/>
    <col min="93" max="93" width="9.28125" style="1" bestFit="1" customWidth="1"/>
    <col min="94" max="94" width="9.140625" style="1" customWidth="1"/>
    <col min="95" max="95" width="9.28125" style="1" bestFit="1" customWidth="1"/>
    <col min="96" max="96" width="9.140625" style="1" customWidth="1"/>
    <col min="97" max="109" width="9.28125" style="1" bestFit="1" customWidth="1"/>
    <col min="110" max="110" width="16.140625" style="1" bestFit="1" customWidth="1"/>
    <col min="111" max="111" width="9.140625" style="1" customWidth="1"/>
    <col min="112" max="112" width="12.140625" style="1" bestFit="1" customWidth="1"/>
    <col min="113" max="113" width="9.140625" style="1" customWidth="1"/>
    <col min="114" max="120" width="9.28125" style="1" bestFit="1" customWidth="1"/>
    <col min="121" max="183" width="9.140625" style="1" customWidth="1"/>
    <col min="184" max="184" width="9.28125" style="1" bestFit="1" customWidth="1"/>
    <col min="185" max="185" width="9.140625" style="1" customWidth="1"/>
    <col min="186" max="186" width="9.28125" style="1" bestFit="1" customWidth="1"/>
    <col min="187" max="187" width="9.140625" style="1" customWidth="1"/>
    <col min="188" max="188" width="9.28125" style="1" bestFit="1" customWidth="1"/>
    <col min="189" max="189" width="9.140625" style="1" customWidth="1"/>
    <col min="190" max="202" width="9.28125" style="1" bestFit="1" customWidth="1"/>
    <col min="203" max="203" width="14.57421875" style="1" bestFit="1" customWidth="1"/>
    <col min="204" max="204" width="9.140625" style="1" customWidth="1"/>
    <col min="205" max="205" width="12.140625" style="1" bestFit="1" customWidth="1"/>
    <col min="206" max="206" width="9.140625" style="1" customWidth="1"/>
    <col min="207" max="213" width="9.28125" style="1" bestFit="1" customWidth="1"/>
    <col min="214" max="16384" width="9.140625" style="1" customWidth="1"/>
  </cols>
  <sheetData>
    <row r="1" spans="2:92" s="4" customFormat="1" ht="27.75">
      <c r="B1" s="89" t="s">
        <v>194</v>
      </c>
      <c r="C1" s="89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</row>
    <row r="2" ht="6.75" customHeight="1" thickBot="1">
      <c r="C2" s="24"/>
    </row>
    <row r="3" spans="1:34" ht="197.25" customHeight="1" thickBot="1" thickTop="1">
      <c r="A3" s="5" t="s">
        <v>0</v>
      </c>
      <c r="B3" s="25" t="s">
        <v>0</v>
      </c>
      <c r="C3" s="6" t="s">
        <v>19</v>
      </c>
      <c r="D3" s="9" t="s">
        <v>1</v>
      </c>
      <c r="E3" s="9" t="s">
        <v>6</v>
      </c>
      <c r="F3" s="10" t="s">
        <v>7</v>
      </c>
      <c r="G3" s="7" t="s">
        <v>5</v>
      </c>
      <c r="H3" s="7" t="s">
        <v>112</v>
      </c>
      <c r="I3" s="7" t="s">
        <v>2</v>
      </c>
      <c r="J3" s="7" t="s">
        <v>3</v>
      </c>
      <c r="K3" s="7" t="s">
        <v>13</v>
      </c>
      <c r="L3" s="7" t="s">
        <v>25</v>
      </c>
      <c r="M3" s="7" t="s">
        <v>14</v>
      </c>
      <c r="N3" s="7" t="s">
        <v>68</v>
      </c>
      <c r="O3" s="7" t="s">
        <v>9</v>
      </c>
      <c r="P3" s="7" t="s">
        <v>8</v>
      </c>
      <c r="Q3" s="8" t="s">
        <v>4</v>
      </c>
      <c r="R3" s="7" t="s">
        <v>15</v>
      </c>
      <c r="S3" s="7" t="s">
        <v>113</v>
      </c>
      <c r="T3" s="7" t="s">
        <v>32</v>
      </c>
      <c r="U3" s="7" t="s">
        <v>31</v>
      </c>
      <c r="V3" s="7" t="s">
        <v>10</v>
      </c>
      <c r="W3" s="7" t="s">
        <v>11</v>
      </c>
      <c r="X3" s="22" t="s">
        <v>18</v>
      </c>
      <c r="Y3" s="22" t="s">
        <v>17</v>
      </c>
      <c r="Z3" s="7" t="s">
        <v>195</v>
      </c>
      <c r="AA3" s="7" t="s">
        <v>27</v>
      </c>
      <c r="AB3" s="7" t="s">
        <v>28</v>
      </c>
      <c r="AC3" s="7" t="s">
        <v>29</v>
      </c>
      <c r="AD3" s="7" t="s">
        <v>30</v>
      </c>
      <c r="AE3" s="7" t="s">
        <v>16</v>
      </c>
      <c r="AF3" s="11" t="s">
        <v>12</v>
      </c>
      <c r="AG3" s="27"/>
      <c r="AH3" s="12"/>
    </row>
    <row r="4" spans="1:92" ht="19.5" thickBot="1" thickTop="1">
      <c r="A4" s="16">
        <v>203</v>
      </c>
      <c r="B4" s="87">
        <v>1</v>
      </c>
      <c r="C4" s="29">
        <v>15401</v>
      </c>
      <c r="D4" s="29" t="s">
        <v>21</v>
      </c>
      <c r="E4" s="29">
        <v>1</v>
      </c>
      <c r="F4" s="29" t="s">
        <v>81</v>
      </c>
      <c r="G4" s="30">
        <v>0</v>
      </c>
      <c r="H4" s="30">
        <v>0</v>
      </c>
      <c r="I4" s="30">
        <v>0</v>
      </c>
      <c r="J4" s="30">
        <v>1</v>
      </c>
      <c r="K4" s="14">
        <v>0</v>
      </c>
      <c r="L4" s="14">
        <v>1</v>
      </c>
      <c r="M4" s="14">
        <v>1</v>
      </c>
      <c r="N4" s="30">
        <v>1</v>
      </c>
      <c r="O4" s="29">
        <v>0</v>
      </c>
      <c r="P4" s="30">
        <v>0</v>
      </c>
      <c r="Q4" s="30">
        <v>1</v>
      </c>
      <c r="R4" s="30">
        <v>1</v>
      </c>
      <c r="S4" s="30">
        <v>0</v>
      </c>
      <c r="T4" s="18">
        <v>0</v>
      </c>
      <c r="U4" s="18">
        <v>0</v>
      </c>
      <c r="V4" s="18">
        <v>0</v>
      </c>
      <c r="W4" s="18"/>
      <c r="X4" s="18"/>
      <c r="Y4" s="18"/>
      <c r="Z4" s="23">
        <f aca="true" t="shared" si="0" ref="Z4:Z33">((T4*50%+U4*85%+V4)/L4)+W4</f>
        <v>0</v>
      </c>
      <c r="AA4" s="23">
        <f aca="true" t="shared" si="1" ref="AA4:AA33">IF(O4=1,Z4*30%,0)</f>
        <v>0</v>
      </c>
      <c r="AB4" s="23">
        <f aca="true" t="shared" si="2" ref="AB4:AB33">IF(K4=1,Z4*20%,0)</f>
        <v>0</v>
      </c>
      <c r="AC4" s="23">
        <f aca="true" t="shared" si="3" ref="AC4:AC33">IF(R4=1,Z4*10%,0)</f>
        <v>0</v>
      </c>
      <c r="AD4" s="23">
        <f aca="true" t="shared" si="4" ref="AD4:AD33">IF(S4=1,Z4*30%,0)</f>
        <v>0</v>
      </c>
      <c r="AE4" s="23">
        <f aca="true" t="shared" si="5" ref="AE4:AE33">IF(I4=1,Z4*30%,0)</f>
        <v>0</v>
      </c>
      <c r="AF4" s="23">
        <f aca="true" t="shared" si="6" ref="AF4:AF33">Z4-AA4-AB4-AC4-AD4-AE4</f>
        <v>0</v>
      </c>
      <c r="AG4" s="28" t="s">
        <v>26</v>
      </c>
      <c r="AH4" s="67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</row>
    <row r="5" spans="1:92" ht="19.5" thickBot="1" thickTop="1">
      <c r="A5" s="37"/>
      <c r="B5" s="87">
        <v>2</v>
      </c>
      <c r="C5" s="29">
        <v>15353</v>
      </c>
      <c r="D5" s="29" t="s">
        <v>24</v>
      </c>
      <c r="E5" s="29">
        <v>1</v>
      </c>
      <c r="F5" s="29" t="s">
        <v>157</v>
      </c>
      <c r="G5" s="30">
        <v>0</v>
      </c>
      <c r="H5" s="30">
        <v>1</v>
      </c>
      <c r="I5" s="15">
        <v>1</v>
      </c>
      <c r="J5" s="30">
        <v>1</v>
      </c>
      <c r="K5" s="14">
        <v>0</v>
      </c>
      <c r="L5" s="14">
        <v>2</v>
      </c>
      <c r="M5" s="17">
        <v>1</v>
      </c>
      <c r="N5" s="30">
        <v>1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18">
        <v>0</v>
      </c>
      <c r="U5" s="18">
        <v>0</v>
      </c>
      <c r="V5" s="18">
        <v>0</v>
      </c>
      <c r="W5" s="18"/>
      <c r="X5" s="18"/>
      <c r="Y5" s="18"/>
      <c r="Z5" s="23">
        <f t="shared" si="0"/>
        <v>0</v>
      </c>
      <c r="AA5" s="23">
        <f t="shared" si="1"/>
        <v>0</v>
      </c>
      <c r="AB5" s="23">
        <f t="shared" si="2"/>
        <v>0</v>
      </c>
      <c r="AC5" s="23">
        <f t="shared" si="3"/>
        <v>0</v>
      </c>
      <c r="AD5" s="23">
        <f t="shared" si="4"/>
        <v>0</v>
      </c>
      <c r="AE5" s="23">
        <f t="shared" si="5"/>
        <v>0</v>
      </c>
      <c r="AF5" s="23">
        <f t="shared" si="6"/>
        <v>0</v>
      </c>
      <c r="AG5" s="28" t="s">
        <v>101</v>
      </c>
      <c r="AH5" s="66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1"/>
    </row>
    <row r="6" spans="1:92" ht="19.5" thickBot="1" thickTop="1">
      <c r="A6" s="37"/>
      <c r="B6" s="87">
        <v>3</v>
      </c>
      <c r="C6" s="29">
        <v>15342</v>
      </c>
      <c r="D6" s="29" t="s">
        <v>24</v>
      </c>
      <c r="E6" s="29">
        <v>1</v>
      </c>
      <c r="F6" s="29" t="s">
        <v>131</v>
      </c>
      <c r="G6" s="52">
        <v>0</v>
      </c>
      <c r="H6" s="53">
        <v>1</v>
      </c>
      <c r="I6" s="53">
        <v>1</v>
      </c>
      <c r="J6" s="53">
        <v>1</v>
      </c>
      <c r="K6" s="52">
        <v>0</v>
      </c>
      <c r="L6" s="52">
        <v>3</v>
      </c>
      <c r="M6" s="53">
        <v>1</v>
      </c>
      <c r="N6" s="53">
        <v>1</v>
      </c>
      <c r="O6" s="53">
        <v>1</v>
      </c>
      <c r="P6" s="53">
        <v>0</v>
      </c>
      <c r="Q6" s="53">
        <v>0</v>
      </c>
      <c r="R6" s="53">
        <v>1</v>
      </c>
      <c r="S6" s="53">
        <v>0</v>
      </c>
      <c r="T6" s="54">
        <v>3832.61</v>
      </c>
      <c r="U6" s="54"/>
      <c r="V6" s="54">
        <f>6000-T6</f>
        <v>2167.39</v>
      </c>
      <c r="W6" s="54"/>
      <c r="X6" s="43"/>
      <c r="Y6" s="43"/>
      <c r="Z6" s="35">
        <f t="shared" si="0"/>
        <v>1361.2316666666666</v>
      </c>
      <c r="AA6" s="35">
        <f t="shared" si="1"/>
        <v>408.36949999999996</v>
      </c>
      <c r="AB6" s="35">
        <f t="shared" si="2"/>
        <v>0</v>
      </c>
      <c r="AC6" s="35">
        <f t="shared" si="3"/>
        <v>136.12316666666666</v>
      </c>
      <c r="AD6" s="35">
        <f t="shared" si="4"/>
        <v>0</v>
      </c>
      <c r="AE6" s="35">
        <f t="shared" si="5"/>
        <v>408.36949999999996</v>
      </c>
      <c r="AF6" s="35">
        <f t="shared" si="6"/>
        <v>408.36949999999996</v>
      </c>
      <c r="AG6" s="70" t="s">
        <v>22</v>
      </c>
      <c r="AH6" s="70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1"/>
    </row>
    <row r="7" spans="2:92" s="40" customFormat="1" ht="19.5" thickBot="1" thickTop="1">
      <c r="B7" s="87">
        <v>4</v>
      </c>
      <c r="C7" s="29">
        <v>15489</v>
      </c>
      <c r="D7" s="29" t="s">
        <v>24</v>
      </c>
      <c r="E7" s="29">
        <v>1</v>
      </c>
      <c r="F7" s="29" t="s">
        <v>59</v>
      </c>
      <c r="G7" s="17">
        <v>0</v>
      </c>
      <c r="H7" s="30">
        <v>1</v>
      </c>
      <c r="I7" s="30">
        <v>0</v>
      </c>
      <c r="J7" s="30">
        <v>1</v>
      </c>
      <c r="K7" s="17">
        <v>0</v>
      </c>
      <c r="L7" s="17">
        <v>3</v>
      </c>
      <c r="M7" s="30">
        <v>1</v>
      </c>
      <c r="N7" s="30">
        <v>1</v>
      </c>
      <c r="O7" s="30">
        <v>0</v>
      </c>
      <c r="P7" s="30">
        <v>0</v>
      </c>
      <c r="Q7" s="30">
        <v>0</v>
      </c>
      <c r="R7" s="30">
        <v>1</v>
      </c>
      <c r="S7" s="30">
        <v>0</v>
      </c>
      <c r="T7" s="41">
        <v>3156.8</v>
      </c>
      <c r="U7" s="41"/>
      <c r="V7" s="41"/>
      <c r="W7" s="41"/>
      <c r="X7" s="41"/>
      <c r="Y7" s="41"/>
      <c r="Z7" s="23">
        <f t="shared" si="0"/>
        <v>526.1333333333333</v>
      </c>
      <c r="AA7" s="23">
        <f t="shared" si="1"/>
        <v>0</v>
      </c>
      <c r="AB7" s="23">
        <f t="shared" si="2"/>
        <v>0</v>
      </c>
      <c r="AC7" s="23">
        <f t="shared" si="3"/>
        <v>52.61333333333334</v>
      </c>
      <c r="AD7" s="23">
        <f t="shared" si="4"/>
        <v>0</v>
      </c>
      <c r="AE7" s="23">
        <f t="shared" si="5"/>
        <v>0</v>
      </c>
      <c r="AF7" s="23">
        <f t="shared" si="6"/>
        <v>473.52</v>
      </c>
      <c r="AG7" s="28" t="s">
        <v>60</v>
      </c>
      <c r="AH7" s="19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</row>
    <row r="8" spans="2:92" s="40" customFormat="1" ht="19.5" thickBot="1" thickTop="1">
      <c r="B8" s="87">
        <v>5</v>
      </c>
      <c r="C8" s="15">
        <v>15480</v>
      </c>
      <c r="D8" s="15" t="s">
        <v>24</v>
      </c>
      <c r="E8" s="15">
        <v>1</v>
      </c>
      <c r="F8" s="15" t="s">
        <v>176</v>
      </c>
      <c r="G8" s="14">
        <v>0</v>
      </c>
      <c r="H8" s="14">
        <v>1</v>
      </c>
      <c r="I8" s="14">
        <v>0</v>
      </c>
      <c r="J8" s="14">
        <v>1</v>
      </c>
      <c r="K8" s="14">
        <v>1</v>
      </c>
      <c r="L8" s="14">
        <v>5</v>
      </c>
      <c r="M8" s="14">
        <v>1</v>
      </c>
      <c r="N8" s="14">
        <v>1</v>
      </c>
      <c r="O8" s="14">
        <v>1</v>
      </c>
      <c r="P8" s="14">
        <v>1</v>
      </c>
      <c r="Q8" s="14">
        <v>0</v>
      </c>
      <c r="R8" s="14">
        <v>0</v>
      </c>
      <c r="S8" s="14">
        <v>0</v>
      </c>
      <c r="T8" s="18">
        <v>10147.27</v>
      </c>
      <c r="U8" s="18"/>
      <c r="V8" s="18">
        <f>10681.26-T8</f>
        <v>533.9899999999998</v>
      </c>
      <c r="W8" s="18"/>
      <c r="X8" s="18"/>
      <c r="Y8" s="18"/>
      <c r="Z8" s="23">
        <f t="shared" si="0"/>
        <v>1121.525</v>
      </c>
      <c r="AA8" s="23">
        <f t="shared" si="1"/>
        <v>336.45750000000004</v>
      </c>
      <c r="AB8" s="23">
        <f t="shared" si="2"/>
        <v>224.30500000000004</v>
      </c>
      <c r="AC8" s="23">
        <f t="shared" si="3"/>
        <v>0</v>
      </c>
      <c r="AD8" s="23">
        <f t="shared" si="4"/>
        <v>0</v>
      </c>
      <c r="AE8" s="23">
        <f t="shared" si="5"/>
        <v>0</v>
      </c>
      <c r="AF8" s="23">
        <f t="shared" si="6"/>
        <v>560.7625</v>
      </c>
      <c r="AG8" s="28" t="s">
        <v>177</v>
      </c>
      <c r="AH8" s="67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</row>
    <row r="9" spans="1:92" ht="27.75" thickBot="1" thickTop="1">
      <c r="A9" s="16">
        <v>131</v>
      </c>
      <c r="B9" s="87">
        <v>6</v>
      </c>
      <c r="C9" s="15">
        <v>15313</v>
      </c>
      <c r="D9" s="15" t="s">
        <v>24</v>
      </c>
      <c r="E9" s="15">
        <v>1</v>
      </c>
      <c r="F9" s="15" t="s">
        <v>174</v>
      </c>
      <c r="G9" s="14">
        <v>0</v>
      </c>
      <c r="H9" s="14">
        <v>1</v>
      </c>
      <c r="I9" s="14">
        <v>0</v>
      </c>
      <c r="J9" s="14">
        <v>1</v>
      </c>
      <c r="K9" s="14">
        <v>0</v>
      </c>
      <c r="L9" s="14">
        <v>4</v>
      </c>
      <c r="M9" s="14">
        <v>1</v>
      </c>
      <c r="N9" s="14">
        <v>1</v>
      </c>
      <c r="O9" s="14">
        <v>1</v>
      </c>
      <c r="P9" s="14">
        <v>1</v>
      </c>
      <c r="Q9" s="14">
        <v>0</v>
      </c>
      <c r="R9" s="14">
        <v>0</v>
      </c>
      <c r="S9" s="14">
        <v>0</v>
      </c>
      <c r="T9" s="18">
        <v>3699.2</v>
      </c>
      <c r="U9" s="18"/>
      <c r="V9" s="18">
        <f>3705.68+2500-T9</f>
        <v>2506.4800000000005</v>
      </c>
      <c r="W9" s="18"/>
      <c r="X9" s="18"/>
      <c r="Y9" s="18"/>
      <c r="Z9" s="23">
        <f t="shared" si="0"/>
        <v>1089.02</v>
      </c>
      <c r="AA9" s="23">
        <f t="shared" si="1"/>
        <v>326.70599999999996</v>
      </c>
      <c r="AB9" s="23">
        <f t="shared" si="2"/>
        <v>0</v>
      </c>
      <c r="AC9" s="23">
        <f t="shared" si="3"/>
        <v>0</v>
      </c>
      <c r="AD9" s="23">
        <f t="shared" si="4"/>
        <v>0</v>
      </c>
      <c r="AE9" s="23">
        <f t="shared" si="5"/>
        <v>0</v>
      </c>
      <c r="AF9" s="23">
        <f t="shared" si="6"/>
        <v>762.3140000000001</v>
      </c>
      <c r="AG9" s="28" t="s">
        <v>175</v>
      </c>
      <c r="AH9" s="28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1"/>
    </row>
    <row r="10" spans="2:92" s="40" customFormat="1" ht="19.5" thickBot="1" thickTop="1">
      <c r="B10" s="87">
        <v>7</v>
      </c>
      <c r="C10" s="29">
        <v>15410</v>
      </c>
      <c r="D10" s="29" t="s">
        <v>24</v>
      </c>
      <c r="E10" s="29">
        <v>1</v>
      </c>
      <c r="F10" s="29" t="s">
        <v>142</v>
      </c>
      <c r="G10" s="30">
        <v>0</v>
      </c>
      <c r="H10" s="30">
        <v>1</v>
      </c>
      <c r="I10" s="30">
        <v>0</v>
      </c>
      <c r="J10" s="30">
        <v>1</v>
      </c>
      <c r="K10" s="14">
        <v>0</v>
      </c>
      <c r="L10" s="14">
        <v>4</v>
      </c>
      <c r="M10" s="14">
        <v>1</v>
      </c>
      <c r="N10" s="30">
        <v>1</v>
      </c>
      <c r="O10" s="30">
        <v>1</v>
      </c>
      <c r="P10" s="30">
        <v>0</v>
      </c>
      <c r="Q10" s="30">
        <v>0</v>
      </c>
      <c r="R10" s="30">
        <v>0</v>
      </c>
      <c r="S10" s="30">
        <v>1</v>
      </c>
      <c r="T10" s="18">
        <f>4218.61+5104.71</f>
        <v>9323.32</v>
      </c>
      <c r="U10" s="18"/>
      <c r="V10" s="18">
        <f>7400+5104.88-T10</f>
        <v>3181.5600000000013</v>
      </c>
      <c r="W10" s="18"/>
      <c r="X10" s="18"/>
      <c r="Y10" s="18"/>
      <c r="Z10" s="23">
        <f t="shared" si="0"/>
        <v>1960.8050000000003</v>
      </c>
      <c r="AA10" s="23">
        <f t="shared" si="1"/>
        <v>588.2415000000001</v>
      </c>
      <c r="AB10" s="23">
        <f t="shared" si="2"/>
        <v>0</v>
      </c>
      <c r="AC10" s="23">
        <f t="shared" si="3"/>
        <v>0</v>
      </c>
      <c r="AD10" s="23">
        <f t="shared" si="4"/>
        <v>588.2415000000001</v>
      </c>
      <c r="AE10" s="23">
        <f t="shared" si="5"/>
        <v>0</v>
      </c>
      <c r="AF10" s="23">
        <f t="shared" si="6"/>
        <v>784.3220000000001</v>
      </c>
      <c r="AG10" s="73" t="s">
        <v>26</v>
      </c>
      <c r="AH10" s="74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</row>
    <row r="11" spans="1:92" s="45" customFormat="1" ht="22.5" customHeight="1" thickBot="1" thickTop="1">
      <c r="A11" s="42"/>
      <c r="B11" s="87">
        <v>8</v>
      </c>
      <c r="C11" s="29">
        <v>15381</v>
      </c>
      <c r="D11" s="29" t="s">
        <v>24</v>
      </c>
      <c r="E11" s="29">
        <v>1</v>
      </c>
      <c r="F11" s="29" t="s">
        <v>143</v>
      </c>
      <c r="G11" s="17">
        <v>0</v>
      </c>
      <c r="H11" s="30">
        <v>1</v>
      </c>
      <c r="I11" s="30">
        <v>1</v>
      </c>
      <c r="J11" s="30">
        <v>1</v>
      </c>
      <c r="K11" s="17">
        <v>0</v>
      </c>
      <c r="L11" s="17">
        <v>5</v>
      </c>
      <c r="M11" s="30">
        <v>1</v>
      </c>
      <c r="N11" s="30">
        <v>1</v>
      </c>
      <c r="O11" s="30">
        <v>0</v>
      </c>
      <c r="P11" s="30">
        <v>0</v>
      </c>
      <c r="Q11" s="30">
        <v>1</v>
      </c>
      <c r="R11" s="30">
        <v>0</v>
      </c>
      <c r="S11" s="30">
        <v>0</v>
      </c>
      <c r="T11" s="41"/>
      <c r="U11" s="41"/>
      <c r="V11" s="41">
        <v>5660</v>
      </c>
      <c r="W11" s="41"/>
      <c r="X11" s="41"/>
      <c r="Y11" s="41"/>
      <c r="Z11" s="23">
        <f t="shared" si="0"/>
        <v>1132</v>
      </c>
      <c r="AA11" s="23">
        <f t="shared" si="1"/>
        <v>0</v>
      </c>
      <c r="AB11" s="23">
        <f t="shared" si="2"/>
        <v>0</v>
      </c>
      <c r="AC11" s="23">
        <f t="shared" si="3"/>
        <v>0</v>
      </c>
      <c r="AD11" s="23">
        <f t="shared" si="4"/>
        <v>0</v>
      </c>
      <c r="AE11" s="23">
        <f t="shared" si="5"/>
        <v>339.59999999999997</v>
      </c>
      <c r="AF11" s="23">
        <f t="shared" si="6"/>
        <v>792.4000000000001</v>
      </c>
      <c r="AG11" s="28" t="s">
        <v>23</v>
      </c>
      <c r="AH11" s="80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</row>
    <row r="12" spans="2:92" s="40" customFormat="1" ht="19.5" thickBot="1" thickTop="1">
      <c r="B12" s="87">
        <v>9</v>
      </c>
      <c r="C12" s="29">
        <v>15300</v>
      </c>
      <c r="D12" s="29" t="s">
        <v>24</v>
      </c>
      <c r="E12" s="29">
        <v>1</v>
      </c>
      <c r="F12" s="29" t="s">
        <v>122</v>
      </c>
      <c r="G12" s="30">
        <v>0</v>
      </c>
      <c r="H12" s="30">
        <v>1</v>
      </c>
      <c r="I12" s="30">
        <v>1</v>
      </c>
      <c r="J12" s="30">
        <v>1</v>
      </c>
      <c r="K12" s="14">
        <v>0</v>
      </c>
      <c r="L12" s="14">
        <v>4</v>
      </c>
      <c r="M12" s="14">
        <v>1</v>
      </c>
      <c r="N12" s="30">
        <v>1</v>
      </c>
      <c r="O12" s="30">
        <v>1</v>
      </c>
      <c r="P12" s="30">
        <v>0</v>
      </c>
      <c r="Q12" s="30">
        <v>1</v>
      </c>
      <c r="R12" s="30">
        <v>0</v>
      </c>
      <c r="S12" s="17">
        <v>0</v>
      </c>
      <c r="T12" s="18"/>
      <c r="U12" s="18">
        <v>2946.13</v>
      </c>
      <c r="V12" s="18">
        <f>5959.71+3098.1-U12</f>
        <v>6111.679999999999</v>
      </c>
      <c r="W12" s="18"/>
      <c r="X12" s="31"/>
      <c r="Y12" s="31"/>
      <c r="Z12" s="23">
        <f t="shared" si="0"/>
        <v>2153.972625</v>
      </c>
      <c r="AA12" s="23">
        <f t="shared" si="1"/>
        <v>646.1917874999999</v>
      </c>
      <c r="AB12" s="23">
        <f t="shared" si="2"/>
        <v>0</v>
      </c>
      <c r="AC12" s="23">
        <f t="shared" si="3"/>
        <v>0</v>
      </c>
      <c r="AD12" s="23">
        <f t="shared" si="4"/>
        <v>0</v>
      </c>
      <c r="AE12" s="23">
        <f t="shared" si="5"/>
        <v>646.1917874999999</v>
      </c>
      <c r="AF12" s="23">
        <f t="shared" si="6"/>
        <v>861.58905</v>
      </c>
      <c r="AG12" s="63" t="s">
        <v>69</v>
      </c>
      <c r="AH12" s="6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</row>
    <row r="13" spans="2:92" s="40" customFormat="1" ht="19.5" thickBot="1" thickTop="1">
      <c r="B13" s="87">
        <v>10</v>
      </c>
      <c r="C13" s="29">
        <v>15521</v>
      </c>
      <c r="D13" s="29" t="s">
        <v>21</v>
      </c>
      <c r="E13" s="29">
        <v>1</v>
      </c>
      <c r="F13" s="29" t="s">
        <v>173</v>
      </c>
      <c r="G13" s="17">
        <v>0</v>
      </c>
      <c r="H13" s="30">
        <v>1</v>
      </c>
      <c r="I13" s="30">
        <v>1</v>
      </c>
      <c r="J13" s="30">
        <v>1</v>
      </c>
      <c r="K13" s="17">
        <v>0</v>
      </c>
      <c r="L13" s="17">
        <v>3</v>
      </c>
      <c r="M13" s="30">
        <v>1</v>
      </c>
      <c r="N13" s="30">
        <v>1</v>
      </c>
      <c r="O13" s="30">
        <v>0</v>
      </c>
      <c r="P13" s="30">
        <v>0</v>
      </c>
      <c r="Q13" s="30">
        <v>0</v>
      </c>
      <c r="R13" s="30">
        <v>1</v>
      </c>
      <c r="S13" s="30">
        <v>0</v>
      </c>
      <c r="T13" s="41">
        <v>2726.61</v>
      </c>
      <c r="U13" s="41"/>
      <c r="V13" s="41">
        <f>5800-T13</f>
        <v>3073.39</v>
      </c>
      <c r="W13" s="41"/>
      <c r="X13" s="41"/>
      <c r="Y13" s="41"/>
      <c r="Z13" s="23">
        <f t="shared" si="0"/>
        <v>1478.8983333333333</v>
      </c>
      <c r="AA13" s="23">
        <f t="shared" si="1"/>
        <v>0</v>
      </c>
      <c r="AB13" s="23">
        <f t="shared" si="2"/>
        <v>0</v>
      </c>
      <c r="AC13" s="23">
        <f t="shared" si="3"/>
        <v>147.88983333333334</v>
      </c>
      <c r="AD13" s="23">
        <f t="shared" si="4"/>
        <v>0</v>
      </c>
      <c r="AE13" s="23">
        <f t="shared" si="5"/>
        <v>443.66949999999997</v>
      </c>
      <c r="AF13" s="23">
        <f t="shared" si="6"/>
        <v>887.3389999999999</v>
      </c>
      <c r="AG13" s="28" t="s">
        <v>22</v>
      </c>
      <c r="AH13" s="2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</row>
    <row r="14" spans="1:92" ht="27.75" thickBot="1" thickTop="1">
      <c r="A14" s="42"/>
      <c r="B14" s="87">
        <v>11</v>
      </c>
      <c r="C14" s="15">
        <v>2479</v>
      </c>
      <c r="D14" s="39" t="s">
        <v>20</v>
      </c>
      <c r="E14" s="15">
        <v>1</v>
      </c>
      <c r="F14" s="15" t="s">
        <v>184</v>
      </c>
      <c r="G14" s="14">
        <v>0</v>
      </c>
      <c r="H14" s="14">
        <v>1</v>
      </c>
      <c r="I14" s="14">
        <v>1</v>
      </c>
      <c r="J14" s="14">
        <v>0</v>
      </c>
      <c r="K14" s="14">
        <v>0</v>
      </c>
      <c r="L14" s="14">
        <v>3</v>
      </c>
      <c r="M14" s="14">
        <v>1</v>
      </c>
      <c r="N14" s="14">
        <v>1</v>
      </c>
      <c r="O14" s="14">
        <v>1</v>
      </c>
      <c r="P14" s="14">
        <v>0</v>
      </c>
      <c r="Q14" s="14">
        <v>0</v>
      </c>
      <c r="R14" s="14">
        <v>0</v>
      </c>
      <c r="S14" s="14">
        <v>0</v>
      </c>
      <c r="T14" s="18"/>
      <c r="U14" s="18"/>
      <c r="V14" s="18">
        <f>3780+3150</f>
        <v>6930</v>
      </c>
      <c r="W14" s="18"/>
      <c r="X14" s="18"/>
      <c r="Y14" s="18"/>
      <c r="Z14" s="23">
        <f t="shared" si="0"/>
        <v>2310</v>
      </c>
      <c r="AA14" s="23">
        <f t="shared" si="1"/>
        <v>693</v>
      </c>
      <c r="AB14" s="23">
        <f t="shared" si="2"/>
        <v>0</v>
      </c>
      <c r="AC14" s="23">
        <f t="shared" si="3"/>
        <v>0</v>
      </c>
      <c r="AD14" s="23">
        <f t="shared" si="4"/>
        <v>0</v>
      </c>
      <c r="AE14" s="23">
        <f t="shared" si="5"/>
        <v>693</v>
      </c>
      <c r="AF14" s="23">
        <f t="shared" si="6"/>
        <v>924</v>
      </c>
      <c r="AG14" s="28" t="s">
        <v>26</v>
      </c>
      <c r="AH14" s="19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1"/>
    </row>
    <row r="15" spans="1:92" ht="27.75" thickBot="1" thickTop="1">
      <c r="A15" s="16"/>
      <c r="B15" s="87">
        <v>12</v>
      </c>
      <c r="C15" s="29">
        <v>15373</v>
      </c>
      <c r="D15" s="29" t="s">
        <v>21</v>
      </c>
      <c r="E15" s="29">
        <v>1</v>
      </c>
      <c r="F15" s="29" t="s">
        <v>38</v>
      </c>
      <c r="G15" s="30">
        <v>0</v>
      </c>
      <c r="H15" s="30">
        <v>1</v>
      </c>
      <c r="I15" s="15">
        <v>0</v>
      </c>
      <c r="J15" s="30">
        <v>1</v>
      </c>
      <c r="K15" s="14">
        <v>0</v>
      </c>
      <c r="L15" s="14">
        <v>4</v>
      </c>
      <c r="M15" s="14">
        <v>1</v>
      </c>
      <c r="N15" s="30">
        <v>1</v>
      </c>
      <c r="O15" s="30">
        <v>1</v>
      </c>
      <c r="P15" s="30">
        <v>0</v>
      </c>
      <c r="Q15" s="30">
        <v>1</v>
      </c>
      <c r="R15" s="30">
        <v>1</v>
      </c>
      <c r="S15" s="30">
        <v>0</v>
      </c>
      <c r="T15" s="18">
        <v>10073.41</v>
      </c>
      <c r="U15" s="18"/>
      <c r="V15" s="18">
        <f>11200-T15</f>
        <v>1126.5900000000001</v>
      </c>
      <c r="W15" s="18"/>
      <c r="X15" s="31"/>
      <c r="Y15" s="31"/>
      <c r="Z15" s="23">
        <f t="shared" si="0"/>
        <v>1540.82375</v>
      </c>
      <c r="AA15" s="23">
        <f t="shared" si="1"/>
        <v>462.247125</v>
      </c>
      <c r="AB15" s="23">
        <f t="shared" si="2"/>
        <v>0</v>
      </c>
      <c r="AC15" s="23">
        <f t="shared" si="3"/>
        <v>154.082375</v>
      </c>
      <c r="AD15" s="23">
        <f t="shared" si="4"/>
        <v>0</v>
      </c>
      <c r="AE15" s="23">
        <f t="shared" si="5"/>
        <v>0</v>
      </c>
      <c r="AF15" s="23">
        <f t="shared" si="6"/>
        <v>924.4942500000002</v>
      </c>
      <c r="AG15" s="28" t="s">
        <v>41</v>
      </c>
      <c r="AH15" s="19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9.5" thickBot="1" thickTop="1">
      <c r="A16" s="16"/>
      <c r="B16" s="87">
        <v>13</v>
      </c>
      <c r="C16" s="29">
        <v>15411</v>
      </c>
      <c r="D16" s="29" t="s">
        <v>24</v>
      </c>
      <c r="E16" s="29">
        <v>1</v>
      </c>
      <c r="F16" s="29" t="s">
        <v>61</v>
      </c>
      <c r="G16" s="17">
        <v>0</v>
      </c>
      <c r="H16" s="30">
        <v>1</v>
      </c>
      <c r="I16" s="30">
        <v>0</v>
      </c>
      <c r="J16" s="30">
        <v>1</v>
      </c>
      <c r="K16" s="17">
        <v>0</v>
      </c>
      <c r="L16" s="17">
        <v>4</v>
      </c>
      <c r="M16" s="30">
        <v>1</v>
      </c>
      <c r="N16" s="30">
        <v>1</v>
      </c>
      <c r="O16" s="30">
        <v>1</v>
      </c>
      <c r="P16" s="30">
        <v>0</v>
      </c>
      <c r="Q16" s="30">
        <v>0</v>
      </c>
      <c r="R16" s="30">
        <v>0</v>
      </c>
      <c r="S16" s="30">
        <v>0</v>
      </c>
      <c r="T16" s="41">
        <v>2675.52</v>
      </c>
      <c r="U16" s="41"/>
      <c r="V16" s="41">
        <f>7500+0.07-T16</f>
        <v>4824.549999999999</v>
      </c>
      <c r="W16" s="41"/>
      <c r="X16" s="43"/>
      <c r="Y16" s="43"/>
      <c r="Z16" s="23">
        <f t="shared" si="0"/>
        <v>1540.5774999999999</v>
      </c>
      <c r="AA16" s="23">
        <f t="shared" si="1"/>
        <v>462.17324999999994</v>
      </c>
      <c r="AB16" s="23">
        <f t="shared" si="2"/>
        <v>0</v>
      </c>
      <c r="AC16" s="23">
        <f t="shared" si="3"/>
        <v>0</v>
      </c>
      <c r="AD16" s="23">
        <f t="shared" si="4"/>
        <v>0</v>
      </c>
      <c r="AE16" s="23">
        <f t="shared" si="5"/>
        <v>0</v>
      </c>
      <c r="AF16" s="23">
        <f t="shared" si="6"/>
        <v>1078.40425</v>
      </c>
      <c r="AG16" s="28" t="s">
        <v>23</v>
      </c>
      <c r="AH16" s="19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22.5" customHeight="1" thickBot="1" thickTop="1">
      <c r="A17" s="16"/>
      <c r="B17" s="87">
        <v>14</v>
      </c>
      <c r="C17" s="15">
        <v>2368</v>
      </c>
      <c r="D17" s="39" t="s">
        <v>20</v>
      </c>
      <c r="E17" s="15">
        <v>1</v>
      </c>
      <c r="F17" s="15" t="s">
        <v>181</v>
      </c>
      <c r="G17" s="14">
        <v>0</v>
      </c>
      <c r="H17" s="14">
        <v>1</v>
      </c>
      <c r="I17" s="14">
        <v>1</v>
      </c>
      <c r="J17" s="14">
        <v>1</v>
      </c>
      <c r="K17" s="14">
        <v>0</v>
      </c>
      <c r="L17" s="14">
        <v>8</v>
      </c>
      <c r="M17" s="14">
        <v>1</v>
      </c>
      <c r="N17" s="14">
        <v>1</v>
      </c>
      <c r="O17" s="14">
        <v>0</v>
      </c>
      <c r="P17" s="14">
        <v>1</v>
      </c>
      <c r="Q17" s="14">
        <v>0</v>
      </c>
      <c r="R17" s="14">
        <v>0</v>
      </c>
      <c r="S17" s="14">
        <v>0</v>
      </c>
      <c r="T17" s="18">
        <f>1686.33+2723.04</f>
        <v>4409.37</v>
      </c>
      <c r="U17" s="18">
        <v>6949.24</v>
      </c>
      <c r="V17" s="18">
        <f>9460+6140-T17-U17</f>
        <v>4241.390000000001</v>
      </c>
      <c r="W17" s="41"/>
      <c r="X17" s="41"/>
      <c r="Y17" s="41"/>
      <c r="Z17" s="23">
        <f t="shared" si="0"/>
        <v>1544.116125</v>
      </c>
      <c r="AA17" s="23">
        <f t="shared" si="1"/>
        <v>0</v>
      </c>
      <c r="AB17" s="23">
        <f t="shared" si="2"/>
        <v>0</v>
      </c>
      <c r="AC17" s="23">
        <f t="shared" si="3"/>
        <v>0</v>
      </c>
      <c r="AD17" s="23">
        <f t="shared" si="4"/>
        <v>0</v>
      </c>
      <c r="AE17" s="23">
        <f t="shared" si="5"/>
        <v>463.23483749999997</v>
      </c>
      <c r="AF17" s="23">
        <f t="shared" si="6"/>
        <v>1080.8812875</v>
      </c>
      <c r="AG17" s="28" t="s">
        <v>106</v>
      </c>
      <c r="AH17" s="19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22.5" customHeight="1" thickBot="1" thickTop="1">
      <c r="A18" s="16">
        <v>197</v>
      </c>
      <c r="B18" s="87">
        <v>15</v>
      </c>
      <c r="C18" s="29">
        <v>15484</v>
      </c>
      <c r="D18" s="29" t="s">
        <v>24</v>
      </c>
      <c r="E18" s="29">
        <v>1</v>
      </c>
      <c r="F18" s="29" t="s">
        <v>52</v>
      </c>
      <c r="G18" s="17">
        <v>0</v>
      </c>
      <c r="H18" s="30">
        <v>1</v>
      </c>
      <c r="I18" s="30">
        <v>1</v>
      </c>
      <c r="J18" s="30">
        <v>1</v>
      </c>
      <c r="K18" s="17">
        <v>0</v>
      </c>
      <c r="L18" s="17">
        <v>5</v>
      </c>
      <c r="M18" s="30">
        <v>1</v>
      </c>
      <c r="N18" s="30">
        <v>1</v>
      </c>
      <c r="O18" s="30">
        <v>0</v>
      </c>
      <c r="P18" s="30">
        <v>0</v>
      </c>
      <c r="Q18" s="30">
        <v>1</v>
      </c>
      <c r="R18" s="30">
        <v>0</v>
      </c>
      <c r="S18" s="30">
        <v>0</v>
      </c>
      <c r="T18" s="41">
        <v>1749.73</v>
      </c>
      <c r="U18" s="41"/>
      <c r="V18" s="41">
        <f>8660-T18</f>
        <v>6910.27</v>
      </c>
      <c r="W18" s="41"/>
      <c r="X18" s="43"/>
      <c r="Y18" s="43"/>
      <c r="Z18" s="23">
        <f t="shared" si="0"/>
        <v>1557.027</v>
      </c>
      <c r="AA18" s="23">
        <f t="shared" si="1"/>
        <v>0</v>
      </c>
      <c r="AB18" s="23">
        <f t="shared" si="2"/>
        <v>0</v>
      </c>
      <c r="AC18" s="23">
        <f t="shared" si="3"/>
        <v>0</v>
      </c>
      <c r="AD18" s="23">
        <f t="shared" si="4"/>
        <v>0</v>
      </c>
      <c r="AE18" s="23">
        <f t="shared" si="5"/>
        <v>467.1081</v>
      </c>
      <c r="AF18" s="23">
        <f t="shared" si="6"/>
        <v>1089.9189000000001</v>
      </c>
      <c r="AG18" s="28" t="s">
        <v>53</v>
      </c>
      <c r="AH18" s="79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22.5" customHeight="1" thickBot="1" thickTop="1">
      <c r="A19" s="16">
        <v>35</v>
      </c>
      <c r="B19" s="87">
        <v>16</v>
      </c>
      <c r="C19" s="15">
        <v>15456</v>
      </c>
      <c r="D19" s="15" t="s">
        <v>21</v>
      </c>
      <c r="E19" s="15">
        <v>1</v>
      </c>
      <c r="F19" s="15" t="s">
        <v>83</v>
      </c>
      <c r="G19" s="14">
        <v>0</v>
      </c>
      <c r="H19" s="14">
        <v>1</v>
      </c>
      <c r="I19" s="14">
        <v>1</v>
      </c>
      <c r="J19" s="14">
        <v>1</v>
      </c>
      <c r="K19" s="14">
        <v>0</v>
      </c>
      <c r="L19" s="14">
        <v>5</v>
      </c>
      <c r="M19" s="14">
        <v>1</v>
      </c>
      <c r="N19" s="14">
        <v>1</v>
      </c>
      <c r="O19" s="14">
        <v>1</v>
      </c>
      <c r="P19" s="14">
        <v>0</v>
      </c>
      <c r="Q19" s="14">
        <v>1</v>
      </c>
      <c r="R19" s="14">
        <v>0</v>
      </c>
      <c r="S19" s="14">
        <v>0</v>
      </c>
      <c r="T19" s="18">
        <v>18057.72</v>
      </c>
      <c r="U19" s="18"/>
      <c r="V19" s="18">
        <f>18443.14+4261.59-T19</f>
        <v>4647.009999999998</v>
      </c>
      <c r="W19" s="18"/>
      <c r="X19" s="31"/>
      <c r="Y19" s="31"/>
      <c r="Z19" s="23">
        <f t="shared" si="0"/>
        <v>2735.174</v>
      </c>
      <c r="AA19" s="23">
        <f t="shared" si="1"/>
        <v>820.5522</v>
      </c>
      <c r="AB19" s="23">
        <f t="shared" si="2"/>
        <v>0</v>
      </c>
      <c r="AC19" s="23">
        <f t="shared" si="3"/>
        <v>0</v>
      </c>
      <c r="AD19" s="23">
        <f t="shared" si="4"/>
        <v>0</v>
      </c>
      <c r="AE19" s="23">
        <f t="shared" si="5"/>
        <v>820.5522</v>
      </c>
      <c r="AF19" s="23">
        <f t="shared" si="6"/>
        <v>1094.0695999999998</v>
      </c>
      <c r="AG19" s="28" t="s">
        <v>84</v>
      </c>
      <c r="AH19" s="28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22.5" customHeight="1" thickBot="1" thickTop="1">
      <c r="A20" s="37">
        <v>49</v>
      </c>
      <c r="B20" s="87">
        <v>17</v>
      </c>
      <c r="C20" s="29">
        <v>15427</v>
      </c>
      <c r="D20" s="29" t="s">
        <v>24</v>
      </c>
      <c r="E20" s="29">
        <v>1</v>
      </c>
      <c r="F20" s="29" t="s">
        <v>145</v>
      </c>
      <c r="G20" s="30">
        <v>0</v>
      </c>
      <c r="H20" s="30">
        <v>1</v>
      </c>
      <c r="I20" s="30">
        <v>0</v>
      </c>
      <c r="J20" s="30">
        <v>1</v>
      </c>
      <c r="K20" s="14">
        <v>0</v>
      </c>
      <c r="L20" s="14">
        <v>3</v>
      </c>
      <c r="M20" s="14">
        <v>1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18">
        <v>718.56</v>
      </c>
      <c r="U20" s="18">
        <v>100</v>
      </c>
      <c r="V20" s="18">
        <f>3768-T20-U20</f>
        <v>2949.44</v>
      </c>
      <c r="W20" s="18"/>
      <c r="X20" s="18"/>
      <c r="Y20" s="18"/>
      <c r="Z20" s="23">
        <f t="shared" si="0"/>
        <v>1131.24</v>
      </c>
      <c r="AA20" s="23">
        <f t="shared" si="1"/>
        <v>0</v>
      </c>
      <c r="AB20" s="23">
        <f t="shared" si="2"/>
        <v>0</v>
      </c>
      <c r="AC20" s="23">
        <f t="shared" si="3"/>
        <v>0</v>
      </c>
      <c r="AD20" s="23">
        <f t="shared" si="4"/>
        <v>0</v>
      </c>
      <c r="AE20" s="23">
        <f t="shared" si="5"/>
        <v>0</v>
      </c>
      <c r="AF20" s="23">
        <f t="shared" si="6"/>
        <v>1131.24</v>
      </c>
      <c r="AG20" s="71" t="s">
        <v>156</v>
      </c>
      <c r="AH20" s="77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</row>
    <row r="21" spans="1:92" ht="22.5" customHeight="1" thickBot="1" thickTop="1">
      <c r="A21" s="16">
        <v>97</v>
      </c>
      <c r="B21" s="87">
        <v>18</v>
      </c>
      <c r="C21" s="29">
        <v>15468</v>
      </c>
      <c r="D21" s="29" t="s">
        <v>24</v>
      </c>
      <c r="E21" s="29">
        <v>1</v>
      </c>
      <c r="F21" s="29" t="s">
        <v>128</v>
      </c>
      <c r="G21" s="17">
        <v>0</v>
      </c>
      <c r="H21" s="30">
        <v>1</v>
      </c>
      <c r="I21" s="30">
        <v>1</v>
      </c>
      <c r="J21" s="30">
        <v>1</v>
      </c>
      <c r="K21" s="17">
        <v>0</v>
      </c>
      <c r="L21" s="17">
        <v>4</v>
      </c>
      <c r="M21" s="30">
        <v>1</v>
      </c>
      <c r="N21" s="30">
        <v>1</v>
      </c>
      <c r="O21" s="30">
        <v>1</v>
      </c>
      <c r="P21" s="30">
        <v>0</v>
      </c>
      <c r="Q21" s="30">
        <v>0</v>
      </c>
      <c r="R21" s="30">
        <v>0</v>
      </c>
      <c r="S21" s="30">
        <v>0</v>
      </c>
      <c r="T21" s="41">
        <f>14525.2+3343.68</f>
        <v>17868.88</v>
      </c>
      <c r="U21" s="41"/>
      <c r="V21" s="41">
        <f>6245+14525.2-T21</f>
        <v>2901.3199999999997</v>
      </c>
      <c r="W21" s="41"/>
      <c r="X21" s="41"/>
      <c r="Y21" s="41"/>
      <c r="Z21" s="23">
        <f t="shared" si="0"/>
        <v>2958.94</v>
      </c>
      <c r="AA21" s="23">
        <f t="shared" si="1"/>
        <v>887.682</v>
      </c>
      <c r="AB21" s="23">
        <f t="shared" si="2"/>
        <v>0</v>
      </c>
      <c r="AC21" s="23">
        <f t="shared" si="3"/>
        <v>0</v>
      </c>
      <c r="AD21" s="23">
        <f t="shared" si="4"/>
        <v>0</v>
      </c>
      <c r="AE21" s="23">
        <f t="shared" si="5"/>
        <v>887.682</v>
      </c>
      <c r="AF21" s="23">
        <f t="shared" si="6"/>
        <v>1183.5759999999998</v>
      </c>
      <c r="AG21" s="28" t="s">
        <v>148</v>
      </c>
      <c r="AH21" s="19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</row>
    <row r="22" spans="1:92" ht="19.5" thickBot="1" thickTop="1">
      <c r="A22" s="16"/>
      <c r="B22" s="87">
        <v>19</v>
      </c>
      <c r="C22" s="29">
        <v>15392</v>
      </c>
      <c r="D22" s="29" t="s">
        <v>24</v>
      </c>
      <c r="E22" s="29">
        <v>1</v>
      </c>
      <c r="F22" s="29" t="s">
        <v>46</v>
      </c>
      <c r="G22" s="17">
        <v>0</v>
      </c>
      <c r="H22" s="30">
        <v>1</v>
      </c>
      <c r="I22" s="30">
        <v>1</v>
      </c>
      <c r="J22" s="30">
        <v>1</v>
      </c>
      <c r="K22" s="17">
        <v>0</v>
      </c>
      <c r="L22" s="17">
        <v>5</v>
      </c>
      <c r="M22" s="30">
        <v>1</v>
      </c>
      <c r="N22" s="30">
        <v>1</v>
      </c>
      <c r="O22" s="30">
        <v>1</v>
      </c>
      <c r="P22" s="30">
        <v>0</v>
      </c>
      <c r="Q22" s="30">
        <v>1</v>
      </c>
      <c r="R22" s="30">
        <v>0</v>
      </c>
      <c r="S22" s="30">
        <v>0</v>
      </c>
      <c r="T22" s="41"/>
      <c r="U22" s="41"/>
      <c r="V22" s="41">
        <f>12770+2500</f>
        <v>15270</v>
      </c>
      <c r="W22" s="41"/>
      <c r="X22" s="41"/>
      <c r="Y22" s="41"/>
      <c r="Z22" s="23">
        <f t="shared" si="0"/>
        <v>3054</v>
      </c>
      <c r="AA22" s="23">
        <f t="shared" si="1"/>
        <v>916.1999999999999</v>
      </c>
      <c r="AB22" s="23">
        <f t="shared" si="2"/>
        <v>0</v>
      </c>
      <c r="AC22" s="23">
        <f t="shared" si="3"/>
        <v>0</v>
      </c>
      <c r="AD22" s="23">
        <f t="shared" si="4"/>
        <v>0</v>
      </c>
      <c r="AE22" s="23">
        <f t="shared" si="5"/>
        <v>916.1999999999999</v>
      </c>
      <c r="AF22" s="23">
        <f t="shared" si="6"/>
        <v>1221.6000000000004</v>
      </c>
      <c r="AG22" s="28" t="s">
        <v>47</v>
      </c>
      <c r="AH22" s="82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9.5" thickBot="1" thickTop="1">
      <c r="A23" s="16">
        <v>28</v>
      </c>
      <c r="B23" s="87">
        <v>20</v>
      </c>
      <c r="C23" s="29">
        <v>15457</v>
      </c>
      <c r="D23" s="29" t="s">
        <v>24</v>
      </c>
      <c r="E23" s="29">
        <v>1</v>
      </c>
      <c r="F23" s="29" t="s">
        <v>170</v>
      </c>
      <c r="G23" s="30">
        <v>0</v>
      </c>
      <c r="H23" s="30">
        <v>1</v>
      </c>
      <c r="I23" s="30">
        <v>1</v>
      </c>
      <c r="J23" s="30">
        <v>1</v>
      </c>
      <c r="K23" s="14">
        <v>0</v>
      </c>
      <c r="L23" s="14">
        <v>4</v>
      </c>
      <c r="M23" s="14">
        <v>1</v>
      </c>
      <c r="N23" s="30">
        <v>1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18"/>
      <c r="U23" s="18"/>
      <c r="V23" s="18">
        <f>2500+4500</f>
        <v>7000</v>
      </c>
      <c r="W23" s="18"/>
      <c r="X23" s="18"/>
      <c r="Y23" s="18"/>
      <c r="Z23" s="23">
        <f t="shared" si="0"/>
        <v>1750</v>
      </c>
      <c r="AA23" s="23">
        <f t="shared" si="1"/>
        <v>0</v>
      </c>
      <c r="AB23" s="23">
        <f t="shared" si="2"/>
        <v>0</v>
      </c>
      <c r="AC23" s="23">
        <f t="shared" si="3"/>
        <v>0</v>
      </c>
      <c r="AD23" s="23">
        <f t="shared" si="4"/>
        <v>0</v>
      </c>
      <c r="AE23" s="23">
        <f t="shared" si="5"/>
        <v>525</v>
      </c>
      <c r="AF23" s="23">
        <f t="shared" si="6"/>
        <v>1225</v>
      </c>
      <c r="AG23" s="48" t="s">
        <v>171</v>
      </c>
      <c r="AH23" s="46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9.5" thickBot="1" thickTop="1">
      <c r="A24" s="16">
        <v>80</v>
      </c>
      <c r="B24" s="87">
        <v>21</v>
      </c>
      <c r="C24" s="29">
        <v>15467</v>
      </c>
      <c r="D24" s="29" t="s">
        <v>24</v>
      </c>
      <c r="E24" s="29">
        <v>1</v>
      </c>
      <c r="F24" s="29" t="s">
        <v>120</v>
      </c>
      <c r="G24" s="30">
        <v>0</v>
      </c>
      <c r="H24" s="30">
        <v>1</v>
      </c>
      <c r="I24" s="30">
        <v>0</v>
      </c>
      <c r="J24" s="30">
        <v>1</v>
      </c>
      <c r="K24" s="14">
        <v>0</v>
      </c>
      <c r="L24" s="14">
        <v>4</v>
      </c>
      <c r="M24" s="14">
        <v>1</v>
      </c>
      <c r="N24" s="30">
        <v>1</v>
      </c>
      <c r="O24" s="30">
        <v>1</v>
      </c>
      <c r="P24" s="30">
        <v>0</v>
      </c>
      <c r="Q24" s="30">
        <v>1</v>
      </c>
      <c r="R24" s="30">
        <v>1</v>
      </c>
      <c r="S24" s="30">
        <v>0</v>
      </c>
      <c r="T24" s="18"/>
      <c r="U24" s="18"/>
      <c r="V24" s="18">
        <v>8380</v>
      </c>
      <c r="W24" s="18"/>
      <c r="X24" s="18"/>
      <c r="Y24" s="18"/>
      <c r="Z24" s="23">
        <f t="shared" si="0"/>
        <v>2095</v>
      </c>
      <c r="AA24" s="23">
        <f t="shared" si="1"/>
        <v>628.5</v>
      </c>
      <c r="AB24" s="23">
        <f t="shared" si="2"/>
        <v>0</v>
      </c>
      <c r="AC24" s="23">
        <f t="shared" si="3"/>
        <v>209.5</v>
      </c>
      <c r="AD24" s="23">
        <f t="shared" si="4"/>
        <v>0</v>
      </c>
      <c r="AE24" s="23">
        <f t="shared" si="5"/>
        <v>0</v>
      </c>
      <c r="AF24" s="23">
        <f t="shared" si="6"/>
        <v>1257</v>
      </c>
      <c r="AG24" s="28" t="s">
        <v>121</v>
      </c>
      <c r="AH24" s="55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s="58" customFormat="1" ht="19.5" thickBot="1" thickTop="1">
      <c r="A25" s="56">
        <v>110</v>
      </c>
      <c r="B25" s="87">
        <v>22</v>
      </c>
      <c r="C25" s="15">
        <v>15429</v>
      </c>
      <c r="D25" s="15" t="s">
        <v>21</v>
      </c>
      <c r="E25" s="15">
        <v>1</v>
      </c>
      <c r="F25" s="15" t="s">
        <v>137</v>
      </c>
      <c r="G25" s="14">
        <v>0</v>
      </c>
      <c r="H25" s="14">
        <v>1</v>
      </c>
      <c r="I25" s="14">
        <v>1</v>
      </c>
      <c r="J25" s="14">
        <v>1</v>
      </c>
      <c r="K25" s="14">
        <v>0</v>
      </c>
      <c r="L25" s="14">
        <v>4</v>
      </c>
      <c r="M25" s="14">
        <v>1</v>
      </c>
      <c r="N25" s="14">
        <v>1</v>
      </c>
      <c r="O25" s="14">
        <v>1</v>
      </c>
      <c r="P25" s="14">
        <v>0</v>
      </c>
      <c r="Q25" s="14">
        <v>0</v>
      </c>
      <c r="R25" s="14">
        <v>0</v>
      </c>
      <c r="S25" s="14">
        <v>0</v>
      </c>
      <c r="T25" s="18">
        <v>13825.42</v>
      </c>
      <c r="U25" s="18"/>
      <c r="V25" s="18">
        <f>13898.52+5700-T25</f>
        <v>5773.1</v>
      </c>
      <c r="W25" s="18"/>
      <c r="X25" s="18"/>
      <c r="Y25" s="18"/>
      <c r="Z25" s="23">
        <f t="shared" si="0"/>
        <v>3171.4525000000003</v>
      </c>
      <c r="AA25" s="23">
        <f t="shared" si="1"/>
        <v>951.4357500000001</v>
      </c>
      <c r="AB25" s="23">
        <f t="shared" si="2"/>
        <v>0</v>
      </c>
      <c r="AC25" s="23">
        <f t="shared" si="3"/>
        <v>0</v>
      </c>
      <c r="AD25" s="23">
        <f t="shared" si="4"/>
        <v>0</v>
      </c>
      <c r="AE25" s="23">
        <f t="shared" si="5"/>
        <v>951.4357500000001</v>
      </c>
      <c r="AF25" s="23">
        <f t="shared" si="6"/>
        <v>1268.5810000000001</v>
      </c>
      <c r="AG25" s="28" t="s">
        <v>22</v>
      </c>
      <c r="AH25" s="19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</row>
    <row r="26" spans="2:92" s="59" customFormat="1" ht="19.5" thickBot="1" thickTop="1">
      <c r="B26" s="87">
        <v>23</v>
      </c>
      <c r="C26" s="15">
        <v>15513</v>
      </c>
      <c r="D26" s="15" t="s">
        <v>21</v>
      </c>
      <c r="E26" s="15">
        <v>1</v>
      </c>
      <c r="F26" s="15" t="s">
        <v>182</v>
      </c>
      <c r="G26" s="14">
        <v>0</v>
      </c>
      <c r="H26" s="14">
        <v>1</v>
      </c>
      <c r="I26" s="14">
        <v>0</v>
      </c>
      <c r="J26" s="14">
        <v>1</v>
      </c>
      <c r="K26" s="14">
        <v>0</v>
      </c>
      <c r="L26" s="14">
        <v>5</v>
      </c>
      <c r="M26" s="14">
        <v>1</v>
      </c>
      <c r="N26" s="14">
        <v>1</v>
      </c>
      <c r="O26" s="14">
        <v>1</v>
      </c>
      <c r="P26" s="14">
        <v>0</v>
      </c>
      <c r="Q26" s="14">
        <v>1</v>
      </c>
      <c r="R26" s="14">
        <v>0</v>
      </c>
      <c r="S26" s="14">
        <v>0</v>
      </c>
      <c r="T26" s="18">
        <f>4984.85+5025.94</f>
        <v>10010.79</v>
      </c>
      <c r="U26" s="18"/>
      <c r="V26" s="18">
        <f>9164+5025.94-T26</f>
        <v>4179.149999999998</v>
      </c>
      <c r="W26" s="41"/>
      <c r="X26" s="41"/>
      <c r="Y26" s="41"/>
      <c r="Z26" s="23">
        <f t="shared" si="0"/>
        <v>1836.9089999999997</v>
      </c>
      <c r="AA26" s="23">
        <f t="shared" si="1"/>
        <v>551.0726999999998</v>
      </c>
      <c r="AB26" s="23">
        <f t="shared" si="2"/>
        <v>0</v>
      </c>
      <c r="AC26" s="23">
        <f t="shared" si="3"/>
        <v>0</v>
      </c>
      <c r="AD26" s="23">
        <f t="shared" si="4"/>
        <v>0</v>
      </c>
      <c r="AE26" s="23">
        <f t="shared" si="5"/>
        <v>0</v>
      </c>
      <c r="AF26" s="23">
        <f t="shared" si="6"/>
        <v>1285.8363</v>
      </c>
      <c r="AG26" s="28" t="s">
        <v>183</v>
      </c>
      <c r="AH26" s="28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</row>
    <row r="27" spans="2:92" s="59" customFormat="1" ht="19.5" thickBot="1" thickTop="1">
      <c r="B27" s="87">
        <v>24</v>
      </c>
      <c r="C27" s="29">
        <v>15379</v>
      </c>
      <c r="D27" s="29" t="s">
        <v>24</v>
      </c>
      <c r="E27" s="29">
        <v>1</v>
      </c>
      <c r="F27" s="29" t="s">
        <v>116</v>
      </c>
      <c r="G27" s="30">
        <v>0</v>
      </c>
      <c r="H27" s="30">
        <v>1</v>
      </c>
      <c r="I27" s="30">
        <v>1</v>
      </c>
      <c r="J27" s="30">
        <v>1</v>
      </c>
      <c r="K27" s="14">
        <v>0</v>
      </c>
      <c r="L27" s="14">
        <v>3</v>
      </c>
      <c r="M27" s="14">
        <v>1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18">
        <f>5026.59+806.4+3948.24</f>
        <v>9781.23</v>
      </c>
      <c r="U27" s="18"/>
      <c r="V27" s="18">
        <f>6632.32+3948.62-T27</f>
        <v>799.7099999999991</v>
      </c>
      <c r="W27" s="18"/>
      <c r="X27" s="18"/>
      <c r="Y27" s="18"/>
      <c r="Z27" s="23">
        <f t="shared" si="0"/>
        <v>1896.7749999999996</v>
      </c>
      <c r="AA27" s="23">
        <f t="shared" si="1"/>
        <v>0</v>
      </c>
      <c r="AB27" s="23">
        <f t="shared" si="2"/>
        <v>0</v>
      </c>
      <c r="AC27" s="23">
        <f t="shared" si="3"/>
        <v>0</v>
      </c>
      <c r="AD27" s="23">
        <f t="shared" si="4"/>
        <v>0</v>
      </c>
      <c r="AE27" s="23">
        <f t="shared" si="5"/>
        <v>569.0324999999999</v>
      </c>
      <c r="AF27" s="23">
        <f t="shared" si="6"/>
        <v>1327.7424999999998</v>
      </c>
      <c r="AG27" s="28" t="s">
        <v>23</v>
      </c>
      <c r="AH27" s="67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</row>
    <row r="28" spans="1:92" s="45" customFormat="1" ht="19.5" thickBot="1" thickTop="1">
      <c r="A28" s="42"/>
      <c r="B28" s="87">
        <v>25</v>
      </c>
      <c r="C28" s="29">
        <v>15473</v>
      </c>
      <c r="D28" s="29" t="s">
        <v>21</v>
      </c>
      <c r="E28" s="29">
        <v>1</v>
      </c>
      <c r="F28" s="29" t="s">
        <v>136</v>
      </c>
      <c r="G28" s="30">
        <v>0</v>
      </c>
      <c r="H28" s="30">
        <v>1</v>
      </c>
      <c r="I28" s="15">
        <v>0</v>
      </c>
      <c r="J28" s="30">
        <v>1</v>
      </c>
      <c r="K28" s="14">
        <v>0</v>
      </c>
      <c r="L28" s="14">
        <v>5</v>
      </c>
      <c r="M28" s="14">
        <v>1</v>
      </c>
      <c r="N28" s="30">
        <v>1</v>
      </c>
      <c r="O28" s="30">
        <v>1</v>
      </c>
      <c r="P28" s="30">
        <v>1</v>
      </c>
      <c r="Q28" s="30">
        <v>0</v>
      </c>
      <c r="R28" s="30">
        <v>0</v>
      </c>
      <c r="S28" s="30">
        <v>0</v>
      </c>
      <c r="T28" s="18">
        <v>10431.03</v>
      </c>
      <c r="U28" s="18"/>
      <c r="V28" s="18">
        <f>2500+12355-T28</f>
        <v>4423.969999999999</v>
      </c>
      <c r="W28" s="18"/>
      <c r="X28" s="18"/>
      <c r="Y28" s="18"/>
      <c r="Z28" s="23">
        <f t="shared" si="0"/>
        <v>1927.8970000000002</v>
      </c>
      <c r="AA28" s="23">
        <f t="shared" si="1"/>
        <v>578.3691</v>
      </c>
      <c r="AB28" s="23">
        <f t="shared" si="2"/>
        <v>0</v>
      </c>
      <c r="AC28" s="23">
        <f t="shared" si="3"/>
        <v>0</v>
      </c>
      <c r="AD28" s="23">
        <f t="shared" si="4"/>
        <v>0</v>
      </c>
      <c r="AE28" s="23">
        <f t="shared" si="5"/>
        <v>0</v>
      </c>
      <c r="AF28" s="23">
        <f t="shared" si="6"/>
        <v>1349.5279</v>
      </c>
      <c r="AG28" s="28" t="s">
        <v>151</v>
      </c>
      <c r="AH28" s="46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</row>
    <row r="29" spans="1:92" ht="19.5" thickBot="1" thickTop="1">
      <c r="A29" s="16"/>
      <c r="B29" s="87">
        <v>26</v>
      </c>
      <c r="C29" s="29">
        <v>15382</v>
      </c>
      <c r="D29" s="29" t="s">
        <v>24</v>
      </c>
      <c r="E29" s="29">
        <v>1</v>
      </c>
      <c r="F29" s="29" t="s">
        <v>114</v>
      </c>
      <c r="G29" s="30">
        <v>0</v>
      </c>
      <c r="H29" s="30">
        <v>1</v>
      </c>
      <c r="I29" s="30">
        <v>1</v>
      </c>
      <c r="J29" s="30">
        <v>1</v>
      </c>
      <c r="K29" s="14">
        <v>0</v>
      </c>
      <c r="L29" s="14">
        <v>4</v>
      </c>
      <c r="M29" s="14">
        <v>1</v>
      </c>
      <c r="N29" s="30">
        <v>1</v>
      </c>
      <c r="O29" s="64">
        <v>0</v>
      </c>
      <c r="P29" s="30">
        <v>0</v>
      </c>
      <c r="Q29" s="30">
        <v>0</v>
      </c>
      <c r="R29" s="30">
        <v>0</v>
      </c>
      <c r="S29" s="30">
        <v>0</v>
      </c>
      <c r="T29" s="18">
        <f>11397.86+969.61</f>
        <v>12367.470000000001</v>
      </c>
      <c r="U29" s="18"/>
      <c r="V29" s="18">
        <f>11398.06+2500-T29</f>
        <v>1530.5899999999983</v>
      </c>
      <c r="W29" s="18"/>
      <c r="X29" s="31"/>
      <c r="Y29" s="31"/>
      <c r="Z29" s="23">
        <f t="shared" si="0"/>
        <v>1928.5812499999997</v>
      </c>
      <c r="AA29" s="23">
        <f t="shared" si="1"/>
        <v>0</v>
      </c>
      <c r="AB29" s="23">
        <f t="shared" si="2"/>
        <v>0</v>
      </c>
      <c r="AC29" s="23">
        <f t="shared" si="3"/>
        <v>0</v>
      </c>
      <c r="AD29" s="23">
        <f t="shared" si="4"/>
        <v>0</v>
      </c>
      <c r="AE29" s="23">
        <f t="shared" si="5"/>
        <v>578.5743749999999</v>
      </c>
      <c r="AF29" s="23">
        <f t="shared" si="6"/>
        <v>1350.0068749999998</v>
      </c>
      <c r="AG29" s="28" t="s">
        <v>115</v>
      </c>
      <c r="AH29" s="55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ht="19.5" thickBot="1" thickTop="1">
      <c r="A30" s="16"/>
      <c r="B30" s="87">
        <v>27</v>
      </c>
      <c r="C30" s="29">
        <v>15347</v>
      </c>
      <c r="D30" s="29" t="s">
        <v>24</v>
      </c>
      <c r="E30" s="29">
        <v>1</v>
      </c>
      <c r="F30" s="29" t="s">
        <v>107</v>
      </c>
      <c r="G30" s="52">
        <v>0</v>
      </c>
      <c r="H30" s="53">
        <v>1</v>
      </c>
      <c r="I30" s="53">
        <v>0</v>
      </c>
      <c r="J30" s="53">
        <v>1</v>
      </c>
      <c r="K30" s="52">
        <v>0</v>
      </c>
      <c r="L30" s="52">
        <v>6</v>
      </c>
      <c r="M30" s="53">
        <v>1</v>
      </c>
      <c r="N30" s="53">
        <v>1</v>
      </c>
      <c r="O30" s="53">
        <v>1</v>
      </c>
      <c r="P30" s="53">
        <v>1</v>
      </c>
      <c r="Q30" s="53">
        <v>0</v>
      </c>
      <c r="R30" s="53">
        <v>0</v>
      </c>
      <c r="S30" s="53">
        <v>0</v>
      </c>
      <c r="T30" s="54">
        <f>14999.25+8162.28</f>
        <v>23161.53</v>
      </c>
      <c r="U30" s="54"/>
      <c r="V30" s="54">
        <f>14999.61+8165.14-T30</f>
        <v>3.220000000001164</v>
      </c>
      <c r="W30" s="54"/>
      <c r="X30" s="43"/>
      <c r="Y30" s="43"/>
      <c r="Z30" s="35">
        <f t="shared" si="0"/>
        <v>1930.6641666666667</v>
      </c>
      <c r="AA30" s="35">
        <f t="shared" si="1"/>
        <v>579.19925</v>
      </c>
      <c r="AB30" s="35">
        <f t="shared" si="2"/>
        <v>0</v>
      </c>
      <c r="AC30" s="35">
        <f t="shared" si="3"/>
        <v>0</v>
      </c>
      <c r="AD30" s="35">
        <f t="shared" si="4"/>
        <v>0</v>
      </c>
      <c r="AE30" s="35">
        <f t="shared" si="5"/>
        <v>0</v>
      </c>
      <c r="AF30" s="35">
        <f t="shared" si="6"/>
        <v>1351.4649166666668</v>
      </c>
      <c r="AG30" s="50" t="s">
        <v>108</v>
      </c>
      <c r="AH30" s="83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9.5" thickBot="1" thickTop="1">
      <c r="A31" s="16"/>
      <c r="B31" s="87">
        <v>28</v>
      </c>
      <c r="C31" s="29">
        <v>15407</v>
      </c>
      <c r="D31" s="29" t="s">
        <v>24</v>
      </c>
      <c r="E31" s="29">
        <v>1</v>
      </c>
      <c r="F31" s="29" t="s">
        <v>48</v>
      </c>
      <c r="G31" s="17">
        <v>0</v>
      </c>
      <c r="H31" s="30">
        <v>1</v>
      </c>
      <c r="I31" s="30">
        <v>0</v>
      </c>
      <c r="J31" s="30">
        <v>1</v>
      </c>
      <c r="K31" s="17">
        <v>0</v>
      </c>
      <c r="L31" s="17">
        <v>4</v>
      </c>
      <c r="M31" s="30">
        <v>1</v>
      </c>
      <c r="N31" s="30">
        <v>1</v>
      </c>
      <c r="O31" s="30">
        <v>0</v>
      </c>
      <c r="P31" s="30">
        <v>0</v>
      </c>
      <c r="Q31" s="30">
        <v>1</v>
      </c>
      <c r="R31" s="30">
        <v>1</v>
      </c>
      <c r="S31" s="30">
        <v>0</v>
      </c>
      <c r="T31" s="41">
        <v>12038.41</v>
      </c>
      <c r="U31" s="41"/>
      <c r="V31" s="41">
        <v>71.57</v>
      </c>
      <c r="W31" s="41"/>
      <c r="X31" s="41"/>
      <c r="Y31" s="41"/>
      <c r="Z31" s="23">
        <f t="shared" si="0"/>
        <v>1522.69375</v>
      </c>
      <c r="AA31" s="23">
        <f t="shared" si="1"/>
        <v>0</v>
      </c>
      <c r="AB31" s="23">
        <f t="shared" si="2"/>
        <v>0</v>
      </c>
      <c r="AC31" s="23">
        <f t="shared" si="3"/>
        <v>152.269375</v>
      </c>
      <c r="AD31" s="23">
        <f t="shared" si="4"/>
        <v>0</v>
      </c>
      <c r="AE31" s="23">
        <f t="shared" si="5"/>
        <v>0</v>
      </c>
      <c r="AF31" s="23">
        <f t="shared" si="6"/>
        <v>1370.4243749999998</v>
      </c>
      <c r="AG31" s="28" t="s">
        <v>22</v>
      </c>
      <c r="AH31" s="21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27.75" thickBot="1" thickTop="1">
      <c r="A32" s="16">
        <v>193</v>
      </c>
      <c r="B32" s="87">
        <v>29</v>
      </c>
      <c r="C32" s="15">
        <v>15361</v>
      </c>
      <c r="D32" s="15" t="s">
        <v>21</v>
      </c>
      <c r="E32" s="15">
        <v>1</v>
      </c>
      <c r="F32" s="15" t="s">
        <v>133</v>
      </c>
      <c r="G32" s="14">
        <v>0</v>
      </c>
      <c r="H32" s="14">
        <v>1</v>
      </c>
      <c r="I32" s="14">
        <v>0</v>
      </c>
      <c r="J32" s="14">
        <v>1</v>
      </c>
      <c r="K32" s="14">
        <v>0</v>
      </c>
      <c r="L32" s="14">
        <v>6</v>
      </c>
      <c r="M32" s="14">
        <v>1</v>
      </c>
      <c r="N32" s="14">
        <v>1</v>
      </c>
      <c r="O32" s="14">
        <v>0</v>
      </c>
      <c r="P32" s="14">
        <v>1</v>
      </c>
      <c r="Q32" s="14">
        <v>0</v>
      </c>
      <c r="R32" s="14">
        <v>0</v>
      </c>
      <c r="S32" s="14">
        <v>0</v>
      </c>
      <c r="T32" s="18">
        <v>12710.11</v>
      </c>
      <c r="U32" s="18"/>
      <c r="V32" s="18">
        <f>12734.25+2500-T32</f>
        <v>2524.1399999999994</v>
      </c>
      <c r="W32" s="18"/>
      <c r="X32" s="18"/>
      <c r="Y32" s="18"/>
      <c r="Z32" s="23">
        <f t="shared" si="0"/>
        <v>1479.8658333333333</v>
      </c>
      <c r="AA32" s="23">
        <f t="shared" si="1"/>
        <v>0</v>
      </c>
      <c r="AB32" s="23">
        <f t="shared" si="2"/>
        <v>0</v>
      </c>
      <c r="AC32" s="23">
        <f t="shared" si="3"/>
        <v>0</v>
      </c>
      <c r="AD32" s="23">
        <f t="shared" si="4"/>
        <v>0</v>
      </c>
      <c r="AE32" s="23">
        <f t="shared" si="5"/>
        <v>0</v>
      </c>
      <c r="AF32" s="23">
        <f t="shared" si="6"/>
        <v>1479.8658333333333</v>
      </c>
      <c r="AG32" s="28" t="s">
        <v>150</v>
      </c>
      <c r="AH32" s="28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9.5" thickBot="1" thickTop="1">
      <c r="A33" s="16">
        <v>206</v>
      </c>
      <c r="B33" s="87">
        <v>30</v>
      </c>
      <c r="C33" s="29">
        <v>15349</v>
      </c>
      <c r="D33" s="29" t="s">
        <v>24</v>
      </c>
      <c r="E33" s="29">
        <v>1</v>
      </c>
      <c r="F33" s="29" t="s">
        <v>94</v>
      </c>
      <c r="G33" s="17">
        <v>0</v>
      </c>
      <c r="H33" s="30">
        <v>1</v>
      </c>
      <c r="I33" s="30">
        <v>0</v>
      </c>
      <c r="J33" s="30">
        <v>1</v>
      </c>
      <c r="K33" s="17">
        <v>0</v>
      </c>
      <c r="L33" s="17">
        <v>4</v>
      </c>
      <c r="M33" s="30">
        <v>1</v>
      </c>
      <c r="N33" s="30">
        <v>1</v>
      </c>
      <c r="O33" s="30">
        <v>1</v>
      </c>
      <c r="P33" s="30">
        <v>0</v>
      </c>
      <c r="Q33" s="30">
        <v>0</v>
      </c>
      <c r="R33" s="30">
        <v>0</v>
      </c>
      <c r="S33" s="30">
        <v>0</v>
      </c>
      <c r="T33" s="41">
        <v>5266.85</v>
      </c>
      <c r="U33" s="41">
        <v>27.38</v>
      </c>
      <c r="V33" s="41">
        <f>7100+4100-T33-U33</f>
        <v>5905.7699999999995</v>
      </c>
      <c r="W33" s="41"/>
      <c r="X33" s="41"/>
      <c r="Y33" s="41"/>
      <c r="Z33" s="23">
        <f t="shared" si="0"/>
        <v>2140.617</v>
      </c>
      <c r="AA33" s="23">
        <f t="shared" si="1"/>
        <v>642.1851</v>
      </c>
      <c r="AB33" s="23">
        <f t="shared" si="2"/>
        <v>0</v>
      </c>
      <c r="AC33" s="23">
        <f t="shared" si="3"/>
        <v>0</v>
      </c>
      <c r="AD33" s="23">
        <f t="shared" si="4"/>
        <v>0</v>
      </c>
      <c r="AE33" s="23">
        <f t="shared" si="5"/>
        <v>0</v>
      </c>
      <c r="AF33" s="23">
        <f t="shared" si="6"/>
        <v>1498.4319</v>
      </c>
      <c r="AG33" s="28" t="s">
        <v>95</v>
      </c>
      <c r="AH33" s="19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9.5" thickBot="1" thickTop="1">
      <c r="A34" s="16">
        <v>82</v>
      </c>
      <c r="B34" s="87">
        <v>31</v>
      </c>
      <c r="C34" s="29">
        <v>15384</v>
      </c>
      <c r="D34" s="29" t="s">
        <v>24</v>
      </c>
      <c r="E34" s="29">
        <v>1</v>
      </c>
      <c r="F34" s="29" t="s">
        <v>49</v>
      </c>
      <c r="G34" s="30">
        <v>0</v>
      </c>
      <c r="H34" s="30">
        <v>1</v>
      </c>
      <c r="I34" s="30">
        <v>0</v>
      </c>
      <c r="J34" s="30">
        <v>1</v>
      </c>
      <c r="K34" s="14">
        <v>0</v>
      </c>
      <c r="L34" s="14">
        <v>5</v>
      </c>
      <c r="M34" s="14">
        <v>0</v>
      </c>
      <c r="N34" s="30">
        <v>1</v>
      </c>
      <c r="O34" s="30">
        <v>1</v>
      </c>
      <c r="P34" s="30">
        <v>0</v>
      </c>
      <c r="Q34" s="30">
        <v>1</v>
      </c>
      <c r="R34" s="30">
        <v>0</v>
      </c>
      <c r="S34" s="30">
        <v>0</v>
      </c>
      <c r="T34" s="18"/>
      <c r="U34" s="18"/>
      <c r="V34" s="18">
        <v>10788</v>
      </c>
      <c r="W34" s="18"/>
      <c r="X34" s="18"/>
      <c r="Y34" s="18"/>
      <c r="Z34" s="23">
        <f aca="true" t="shared" si="7" ref="Z34:Z65">((T34*50%+U34*85%+V34)/L34)+W34</f>
        <v>2157.6</v>
      </c>
      <c r="AA34" s="23">
        <f aca="true" t="shared" si="8" ref="AA34:AA65">IF(O34=1,Z34*30%,0)</f>
        <v>647.28</v>
      </c>
      <c r="AB34" s="23">
        <f aca="true" t="shared" si="9" ref="AB34:AB65">IF(K34=1,Z34*20%,0)</f>
        <v>0</v>
      </c>
      <c r="AC34" s="23">
        <f aca="true" t="shared" si="10" ref="AC34:AC65">IF(R34=1,Z34*10%,0)</f>
        <v>0</v>
      </c>
      <c r="AD34" s="23">
        <f aca="true" t="shared" si="11" ref="AD34:AD65">IF(S34=1,Z34*30%,0)</f>
        <v>0</v>
      </c>
      <c r="AE34" s="23">
        <f aca="true" t="shared" si="12" ref="AE34:AE65">IF(I34=1,Z34*30%,0)</f>
        <v>0</v>
      </c>
      <c r="AF34" s="23">
        <f aca="true" t="shared" si="13" ref="AF34:AF65">Z34-AA34-AB34-AC34-AD34-AE34</f>
        <v>1510.32</v>
      </c>
      <c r="AG34" s="28" t="s">
        <v>50</v>
      </c>
      <c r="AH34" s="28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22.5" customHeight="1" thickBot="1" thickTop="1">
      <c r="A35" s="16">
        <v>85</v>
      </c>
      <c r="B35" s="87">
        <v>32</v>
      </c>
      <c r="C35" s="29">
        <v>15428</v>
      </c>
      <c r="D35" s="29" t="s">
        <v>21</v>
      </c>
      <c r="E35" s="29">
        <v>1</v>
      </c>
      <c r="F35" s="29" t="s">
        <v>179</v>
      </c>
      <c r="G35" s="17">
        <v>0</v>
      </c>
      <c r="H35" s="30">
        <v>1</v>
      </c>
      <c r="I35" s="30">
        <v>0</v>
      </c>
      <c r="J35" s="30">
        <v>1</v>
      </c>
      <c r="K35" s="17">
        <v>1</v>
      </c>
      <c r="L35" s="17">
        <v>2</v>
      </c>
      <c r="M35" s="30">
        <v>1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41">
        <v>2145.75</v>
      </c>
      <c r="U35" s="41"/>
      <c r="V35" s="41">
        <f>4895.75-T35</f>
        <v>2750</v>
      </c>
      <c r="W35" s="41"/>
      <c r="X35" s="41"/>
      <c r="Y35" s="41"/>
      <c r="Z35" s="23">
        <f t="shared" si="7"/>
        <v>1911.4375</v>
      </c>
      <c r="AA35" s="23">
        <f t="shared" si="8"/>
        <v>0</v>
      </c>
      <c r="AB35" s="23">
        <f t="shared" si="9"/>
        <v>382.2875</v>
      </c>
      <c r="AC35" s="23">
        <f t="shared" si="10"/>
        <v>0</v>
      </c>
      <c r="AD35" s="23">
        <f t="shared" si="11"/>
        <v>0</v>
      </c>
      <c r="AE35" s="23">
        <f t="shared" si="12"/>
        <v>0</v>
      </c>
      <c r="AF35" s="23">
        <f t="shared" si="13"/>
        <v>1529.15</v>
      </c>
      <c r="AG35" s="28" t="s">
        <v>180</v>
      </c>
      <c r="AH35" s="19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</row>
    <row r="36" spans="1:92" ht="22.5" customHeight="1" thickBot="1" thickTop="1">
      <c r="A36" s="16">
        <v>39</v>
      </c>
      <c r="B36" s="87">
        <v>33</v>
      </c>
      <c r="C36" s="15">
        <v>15416</v>
      </c>
      <c r="D36" s="15" t="s">
        <v>21</v>
      </c>
      <c r="E36" s="15">
        <v>1</v>
      </c>
      <c r="F36" s="15" t="s">
        <v>71</v>
      </c>
      <c r="G36" s="14">
        <v>0</v>
      </c>
      <c r="H36" s="14">
        <v>1</v>
      </c>
      <c r="I36" s="14">
        <v>0</v>
      </c>
      <c r="J36" s="14">
        <v>1</v>
      </c>
      <c r="K36" s="14">
        <v>0</v>
      </c>
      <c r="L36" s="14">
        <v>4</v>
      </c>
      <c r="M36" s="14">
        <v>1</v>
      </c>
      <c r="N36" s="14">
        <v>1</v>
      </c>
      <c r="O36" s="14">
        <v>1</v>
      </c>
      <c r="P36" s="14">
        <v>0</v>
      </c>
      <c r="Q36" s="14">
        <v>0</v>
      </c>
      <c r="R36" s="14">
        <v>0</v>
      </c>
      <c r="S36" s="14">
        <v>0</v>
      </c>
      <c r="T36" s="18">
        <v>7236.36</v>
      </c>
      <c r="U36" s="18">
        <v>5282.22</v>
      </c>
      <c r="V36" s="18">
        <f>7635.22+5609.21-T36-U36</f>
        <v>725.8500000000004</v>
      </c>
      <c r="W36" s="18"/>
      <c r="X36" s="31"/>
      <c r="Y36" s="31"/>
      <c r="Z36" s="23">
        <f t="shared" si="7"/>
        <v>2208.47925</v>
      </c>
      <c r="AA36" s="23">
        <f t="shared" si="8"/>
        <v>662.543775</v>
      </c>
      <c r="AB36" s="23">
        <f t="shared" si="9"/>
        <v>0</v>
      </c>
      <c r="AC36" s="23">
        <f t="shared" si="10"/>
        <v>0</v>
      </c>
      <c r="AD36" s="23">
        <f t="shared" si="11"/>
        <v>0</v>
      </c>
      <c r="AE36" s="23">
        <f t="shared" si="12"/>
        <v>0</v>
      </c>
      <c r="AF36" s="23">
        <f t="shared" si="13"/>
        <v>1545.9354749999998</v>
      </c>
      <c r="AG36" s="28" t="s">
        <v>72</v>
      </c>
      <c r="AH36" s="81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</row>
    <row r="37" spans="1:92" ht="22.5" customHeight="1" thickBot="1" thickTop="1">
      <c r="A37" s="16"/>
      <c r="B37" s="87">
        <v>34</v>
      </c>
      <c r="C37" s="15">
        <v>15432</v>
      </c>
      <c r="D37" s="15" t="s">
        <v>21</v>
      </c>
      <c r="E37" s="15">
        <v>1</v>
      </c>
      <c r="F37" s="15" t="s">
        <v>54</v>
      </c>
      <c r="G37" s="14">
        <v>0</v>
      </c>
      <c r="H37" s="14">
        <v>1</v>
      </c>
      <c r="I37" s="14">
        <v>0</v>
      </c>
      <c r="J37" s="14">
        <v>1</v>
      </c>
      <c r="K37" s="14">
        <v>0</v>
      </c>
      <c r="L37" s="14">
        <v>3</v>
      </c>
      <c r="M37" s="14">
        <v>1</v>
      </c>
      <c r="N37" s="14">
        <v>1</v>
      </c>
      <c r="O37" s="14">
        <v>0</v>
      </c>
      <c r="P37" s="14">
        <v>0</v>
      </c>
      <c r="Q37" s="14">
        <v>0</v>
      </c>
      <c r="R37" s="14">
        <v>1</v>
      </c>
      <c r="S37" s="14">
        <v>0</v>
      </c>
      <c r="T37" s="18">
        <v>9799.37</v>
      </c>
      <c r="U37" s="18"/>
      <c r="V37" s="18">
        <f>10089.74-T37</f>
        <v>290.369999999999</v>
      </c>
      <c r="W37" s="18"/>
      <c r="X37" s="18"/>
      <c r="Y37" s="18"/>
      <c r="Z37" s="23">
        <f t="shared" si="7"/>
        <v>1730.0183333333332</v>
      </c>
      <c r="AA37" s="23">
        <f t="shared" si="8"/>
        <v>0</v>
      </c>
      <c r="AB37" s="23">
        <f t="shared" si="9"/>
        <v>0</v>
      </c>
      <c r="AC37" s="23">
        <f t="shared" si="10"/>
        <v>173.00183333333334</v>
      </c>
      <c r="AD37" s="23">
        <f t="shared" si="11"/>
        <v>0</v>
      </c>
      <c r="AE37" s="23">
        <f t="shared" si="12"/>
        <v>0</v>
      </c>
      <c r="AF37" s="23">
        <f t="shared" si="13"/>
        <v>1557.0165</v>
      </c>
      <c r="AG37" s="28" t="s">
        <v>22</v>
      </c>
      <c r="AH37" s="19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s="58" customFormat="1" ht="19.5" thickBot="1" thickTop="1">
      <c r="A38" s="56"/>
      <c r="B38" s="87">
        <v>35</v>
      </c>
      <c r="C38" s="29">
        <v>15511</v>
      </c>
      <c r="D38" s="29" t="s">
        <v>21</v>
      </c>
      <c r="E38" s="29">
        <v>1</v>
      </c>
      <c r="F38" s="29" t="s">
        <v>134</v>
      </c>
      <c r="G38" s="17">
        <v>0</v>
      </c>
      <c r="H38" s="30">
        <v>1</v>
      </c>
      <c r="I38" s="30">
        <v>1</v>
      </c>
      <c r="J38" s="30">
        <v>1</v>
      </c>
      <c r="K38" s="17">
        <v>0</v>
      </c>
      <c r="L38" s="17">
        <v>5</v>
      </c>
      <c r="M38" s="30">
        <v>1</v>
      </c>
      <c r="N38" s="30">
        <v>1</v>
      </c>
      <c r="O38" s="30">
        <v>0</v>
      </c>
      <c r="P38" s="30">
        <v>0</v>
      </c>
      <c r="Q38" s="30">
        <v>1</v>
      </c>
      <c r="R38" s="30">
        <v>0</v>
      </c>
      <c r="S38" s="30">
        <v>0</v>
      </c>
      <c r="T38" s="41"/>
      <c r="U38" s="41">
        <v>2500.01</v>
      </c>
      <c r="V38" s="41">
        <f>7921.67+3650-U38</f>
        <v>9071.66</v>
      </c>
      <c r="W38" s="41"/>
      <c r="X38" s="43"/>
      <c r="Y38" s="43"/>
      <c r="Z38" s="23">
        <f t="shared" si="7"/>
        <v>2239.3337</v>
      </c>
      <c r="AA38" s="23">
        <f t="shared" si="8"/>
        <v>0</v>
      </c>
      <c r="AB38" s="23">
        <f t="shared" si="9"/>
        <v>0</v>
      </c>
      <c r="AC38" s="23">
        <f t="shared" si="10"/>
        <v>0</v>
      </c>
      <c r="AD38" s="23">
        <f t="shared" si="11"/>
        <v>0</v>
      </c>
      <c r="AE38" s="23">
        <f t="shared" si="12"/>
        <v>671.80011</v>
      </c>
      <c r="AF38" s="23">
        <f t="shared" si="13"/>
        <v>1567.53359</v>
      </c>
      <c r="AG38" s="28" t="s">
        <v>69</v>
      </c>
      <c r="AH38" s="19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</row>
    <row r="39" spans="1:92" ht="22.5" customHeight="1" thickBot="1" thickTop="1">
      <c r="A39" s="16">
        <v>95</v>
      </c>
      <c r="B39" s="87">
        <v>36</v>
      </c>
      <c r="C39" s="15">
        <v>15427</v>
      </c>
      <c r="D39" s="15" t="s">
        <v>21</v>
      </c>
      <c r="E39" s="15">
        <v>1</v>
      </c>
      <c r="F39" s="15" t="s">
        <v>67</v>
      </c>
      <c r="G39" s="14">
        <v>0</v>
      </c>
      <c r="H39" s="14">
        <v>1</v>
      </c>
      <c r="I39" s="14">
        <v>1</v>
      </c>
      <c r="J39" s="14">
        <v>0</v>
      </c>
      <c r="K39" s="14">
        <v>0</v>
      </c>
      <c r="L39" s="14">
        <v>5</v>
      </c>
      <c r="M39" s="14">
        <v>1</v>
      </c>
      <c r="N39" s="14">
        <v>1</v>
      </c>
      <c r="O39" s="14">
        <v>0</v>
      </c>
      <c r="P39" s="14">
        <v>0</v>
      </c>
      <c r="Q39" s="14">
        <v>1</v>
      </c>
      <c r="R39" s="14">
        <v>0</v>
      </c>
      <c r="S39" s="14">
        <v>0</v>
      </c>
      <c r="T39" s="78">
        <v>1606.7</v>
      </c>
      <c r="U39" s="18"/>
      <c r="V39" s="18">
        <f>12000+0.09-T39</f>
        <v>10393.39</v>
      </c>
      <c r="W39" s="18"/>
      <c r="X39" s="31"/>
      <c r="Y39" s="31"/>
      <c r="Z39" s="23">
        <f t="shared" si="7"/>
        <v>2239.348</v>
      </c>
      <c r="AA39" s="23">
        <f t="shared" si="8"/>
        <v>0</v>
      </c>
      <c r="AB39" s="23">
        <f t="shared" si="9"/>
        <v>0</v>
      </c>
      <c r="AC39" s="23">
        <f t="shared" si="10"/>
        <v>0</v>
      </c>
      <c r="AD39" s="23">
        <f t="shared" si="11"/>
        <v>0</v>
      </c>
      <c r="AE39" s="23">
        <f t="shared" si="12"/>
        <v>671.8044</v>
      </c>
      <c r="AF39" s="23">
        <f t="shared" si="13"/>
        <v>1567.5436</v>
      </c>
      <c r="AG39" s="28" t="s">
        <v>69</v>
      </c>
      <c r="AH39" s="19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1" s="58" customFormat="1" ht="19.5" thickBot="1" thickTop="1">
      <c r="A40" s="56">
        <v>52</v>
      </c>
      <c r="B40" s="87">
        <v>37</v>
      </c>
      <c r="C40" s="29">
        <v>15458</v>
      </c>
      <c r="D40" s="29" t="s">
        <v>24</v>
      </c>
      <c r="E40" s="29">
        <v>1</v>
      </c>
      <c r="F40" s="29" t="s">
        <v>100</v>
      </c>
      <c r="G40" s="30">
        <v>0</v>
      </c>
      <c r="H40" s="30">
        <v>1</v>
      </c>
      <c r="I40" s="15">
        <v>1</v>
      </c>
      <c r="J40" s="30">
        <v>1</v>
      </c>
      <c r="K40" s="14">
        <v>0</v>
      </c>
      <c r="L40" s="14">
        <v>4</v>
      </c>
      <c r="M40" s="14">
        <v>1</v>
      </c>
      <c r="N40" s="30">
        <v>1</v>
      </c>
      <c r="O40" s="30">
        <v>1</v>
      </c>
      <c r="P40" s="30">
        <v>0</v>
      </c>
      <c r="Q40" s="30">
        <v>0</v>
      </c>
      <c r="R40" s="30">
        <v>0</v>
      </c>
      <c r="S40" s="30">
        <v>0</v>
      </c>
      <c r="T40" s="18">
        <f>12841.53+2469.6</f>
        <v>15311.130000000001</v>
      </c>
      <c r="U40" s="18"/>
      <c r="V40" s="18">
        <f>14424.6+8920-T40</f>
        <v>8033.4699999999975</v>
      </c>
      <c r="W40" s="18"/>
      <c r="X40" s="18"/>
      <c r="Y40" s="18"/>
      <c r="Z40" s="23">
        <f t="shared" si="7"/>
        <v>3922.2587499999995</v>
      </c>
      <c r="AA40" s="23">
        <f t="shared" si="8"/>
        <v>1176.6776249999998</v>
      </c>
      <c r="AB40" s="23">
        <f t="shared" si="9"/>
        <v>0</v>
      </c>
      <c r="AC40" s="23">
        <f t="shared" si="10"/>
        <v>0</v>
      </c>
      <c r="AD40" s="23">
        <f t="shared" si="11"/>
        <v>0</v>
      </c>
      <c r="AE40" s="23">
        <f t="shared" si="12"/>
        <v>1176.6776249999998</v>
      </c>
      <c r="AF40" s="23">
        <f t="shared" si="13"/>
        <v>1568.9035</v>
      </c>
      <c r="AG40" s="48" t="s">
        <v>101</v>
      </c>
      <c r="AH40" s="46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</row>
    <row r="41" spans="1:92" ht="27.75" thickBot="1" thickTop="1">
      <c r="A41" s="16"/>
      <c r="B41" s="87">
        <v>38</v>
      </c>
      <c r="C41" s="15">
        <v>2427</v>
      </c>
      <c r="D41" s="39" t="s">
        <v>20</v>
      </c>
      <c r="E41" s="15">
        <v>1</v>
      </c>
      <c r="F41" s="15" t="s">
        <v>45</v>
      </c>
      <c r="G41" s="14">
        <v>0</v>
      </c>
      <c r="H41" s="14">
        <v>1</v>
      </c>
      <c r="I41" s="14">
        <v>1</v>
      </c>
      <c r="J41" s="14">
        <v>1</v>
      </c>
      <c r="K41" s="14">
        <v>0</v>
      </c>
      <c r="L41" s="14">
        <v>5</v>
      </c>
      <c r="M41" s="14">
        <v>1</v>
      </c>
      <c r="N41" s="14">
        <v>1</v>
      </c>
      <c r="O41" s="14">
        <v>0</v>
      </c>
      <c r="P41" s="14">
        <v>0</v>
      </c>
      <c r="Q41" s="14">
        <v>1</v>
      </c>
      <c r="R41" s="14">
        <v>0</v>
      </c>
      <c r="S41" s="14">
        <v>0</v>
      </c>
      <c r="T41" s="18">
        <f>4223.12+3406.98</f>
        <v>7630.1</v>
      </c>
      <c r="U41" s="18"/>
      <c r="V41" s="18">
        <f>4788+2850</f>
        <v>7638</v>
      </c>
      <c r="W41" s="18"/>
      <c r="X41" s="18"/>
      <c r="Y41" s="18"/>
      <c r="Z41" s="23">
        <f t="shared" si="7"/>
        <v>2290.6099999999997</v>
      </c>
      <c r="AA41" s="23">
        <f t="shared" si="8"/>
        <v>0</v>
      </c>
      <c r="AB41" s="23">
        <f t="shared" si="9"/>
        <v>0</v>
      </c>
      <c r="AC41" s="23">
        <f t="shared" si="10"/>
        <v>0</v>
      </c>
      <c r="AD41" s="23">
        <f t="shared" si="11"/>
        <v>0</v>
      </c>
      <c r="AE41" s="23">
        <f t="shared" si="12"/>
        <v>687.1829999999999</v>
      </c>
      <c r="AF41" s="23">
        <f t="shared" si="13"/>
        <v>1603.4269999999997</v>
      </c>
      <c r="AG41" s="28" t="s">
        <v>23</v>
      </c>
      <c r="AH41" s="19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1"/>
    </row>
    <row r="42" spans="1:91" s="45" customFormat="1" ht="19.5" thickBot="1" thickTop="1">
      <c r="A42" s="16"/>
      <c r="B42" s="87">
        <v>39</v>
      </c>
      <c r="C42" s="15">
        <v>2449</v>
      </c>
      <c r="D42" s="85" t="s">
        <v>20</v>
      </c>
      <c r="E42" s="15">
        <v>1</v>
      </c>
      <c r="F42" s="15" t="s">
        <v>135</v>
      </c>
      <c r="G42" s="14">
        <v>0</v>
      </c>
      <c r="H42" s="14">
        <v>1</v>
      </c>
      <c r="I42" s="14">
        <v>0</v>
      </c>
      <c r="J42" s="14">
        <v>1</v>
      </c>
      <c r="K42" s="14">
        <v>0</v>
      </c>
      <c r="L42" s="14">
        <v>3</v>
      </c>
      <c r="M42" s="14">
        <v>1</v>
      </c>
      <c r="N42" s="14">
        <v>1</v>
      </c>
      <c r="O42" s="14">
        <v>0</v>
      </c>
      <c r="P42" s="14">
        <v>0</v>
      </c>
      <c r="Q42" s="14">
        <v>0</v>
      </c>
      <c r="R42" s="14">
        <v>1</v>
      </c>
      <c r="S42" s="14">
        <v>0</v>
      </c>
      <c r="T42" s="18"/>
      <c r="U42" s="18"/>
      <c r="V42" s="18">
        <v>5400</v>
      </c>
      <c r="W42" s="18"/>
      <c r="X42" s="18"/>
      <c r="Y42" s="18"/>
      <c r="Z42" s="23">
        <f t="shared" si="7"/>
        <v>1800</v>
      </c>
      <c r="AA42" s="23">
        <f t="shared" si="8"/>
        <v>0</v>
      </c>
      <c r="AB42" s="23">
        <f t="shared" si="9"/>
        <v>0</v>
      </c>
      <c r="AC42" s="23">
        <f t="shared" si="10"/>
        <v>180</v>
      </c>
      <c r="AD42" s="23">
        <f t="shared" si="11"/>
        <v>0</v>
      </c>
      <c r="AE42" s="23">
        <f t="shared" si="12"/>
        <v>0</v>
      </c>
      <c r="AF42" s="23">
        <f t="shared" si="13"/>
        <v>1620</v>
      </c>
      <c r="AG42" s="28" t="s">
        <v>22</v>
      </c>
      <c r="AH42" s="67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</row>
    <row r="43" spans="1:92" ht="19.5" thickBot="1" thickTop="1">
      <c r="A43" s="16"/>
      <c r="B43" s="87">
        <v>40</v>
      </c>
      <c r="C43" s="29">
        <v>15422</v>
      </c>
      <c r="D43" s="29" t="s">
        <v>21</v>
      </c>
      <c r="E43" s="29">
        <v>1</v>
      </c>
      <c r="F43" s="29" t="s">
        <v>65</v>
      </c>
      <c r="G43" s="17">
        <v>0</v>
      </c>
      <c r="H43" s="30">
        <v>1</v>
      </c>
      <c r="I43" s="30">
        <v>0</v>
      </c>
      <c r="J43" s="30">
        <v>1</v>
      </c>
      <c r="K43" s="17">
        <v>0</v>
      </c>
      <c r="L43" s="17">
        <v>5</v>
      </c>
      <c r="M43" s="30">
        <v>1</v>
      </c>
      <c r="N43" s="30">
        <v>1</v>
      </c>
      <c r="O43" s="30">
        <v>0</v>
      </c>
      <c r="P43" s="30">
        <v>0</v>
      </c>
      <c r="Q43" s="30">
        <v>1</v>
      </c>
      <c r="R43" s="30">
        <v>0</v>
      </c>
      <c r="S43" s="30">
        <v>0</v>
      </c>
      <c r="T43" s="41"/>
      <c r="U43" s="41"/>
      <c r="V43" s="41">
        <f>5787.69+2500</f>
        <v>8287.689999999999</v>
      </c>
      <c r="W43" s="41"/>
      <c r="X43" s="43"/>
      <c r="Y43" s="43"/>
      <c r="Z43" s="23">
        <f t="shared" si="7"/>
        <v>1657.5379999999998</v>
      </c>
      <c r="AA43" s="23">
        <f t="shared" si="8"/>
        <v>0</v>
      </c>
      <c r="AB43" s="23">
        <f t="shared" si="9"/>
        <v>0</v>
      </c>
      <c r="AC43" s="23">
        <f t="shared" si="10"/>
        <v>0</v>
      </c>
      <c r="AD43" s="23">
        <f t="shared" si="11"/>
        <v>0</v>
      </c>
      <c r="AE43" s="23">
        <f t="shared" si="12"/>
        <v>0</v>
      </c>
      <c r="AF43" s="23">
        <f t="shared" si="13"/>
        <v>1657.5379999999998</v>
      </c>
      <c r="AG43" s="28" t="s">
        <v>66</v>
      </c>
      <c r="AH43" s="84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1"/>
    </row>
    <row r="44" spans="1:92" ht="19.5" thickBot="1" thickTop="1">
      <c r="A44" s="37"/>
      <c r="B44" s="87">
        <v>41</v>
      </c>
      <c r="C44" s="29">
        <v>15452</v>
      </c>
      <c r="D44" s="29" t="s">
        <v>24</v>
      </c>
      <c r="E44" s="29">
        <v>1</v>
      </c>
      <c r="F44" s="29" t="s">
        <v>51</v>
      </c>
      <c r="G44" s="17">
        <v>0</v>
      </c>
      <c r="H44" s="30">
        <v>1</v>
      </c>
      <c r="I44" s="30">
        <v>0</v>
      </c>
      <c r="J44" s="30">
        <v>1</v>
      </c>
      <c r="K44" s="17">
        <v>0</v>
      </c>
      <c r="L44" s="17">
        <v>6</v>
      </c>
      <c r="M44" s="30">
        <v>1</v>
      </c>
      <c r="N44" s="30">
        <v>1</v>
      </c>
      <c r="O44" s="30">
        <v>1</v>
      </c>
      <c r="P44" s="30">
        <v>1</v>
      </c>
      <c r="Q44" s="30">
        <v>0</v>
      </c>
      <c r="R44" s="30">
        <v>0</v>
      </c>
      <c r="S44" s="30">
        <v>0</v>
      </c>
      <c r="T44" s="41">
        <f>12856.18+15134.13</f>
        <v>27990.309999999998</v>
      </c>
      <c r="U44" s="41"/>
      <c r="V44" s="41">
        <f>13180+15235.52-T44</f>
        <v>425.21000000000276</v>
      </c>
      <c r="W44" s="41"/>
      <c r="X44" s="41"/>
      <c r="Y44" s="41"/>
      <c r="Z44" s="23">
        <f t="shared" si="7"/>
        <v>2403.394166666667</v>
      </c>
      <c r="AA44" s="23">
        <f t="shared" si="8"/>
        <v>721.0182500000001</v>
      </c>
      <c r="AB44" s="23">
        <f t="shared" si="9"/>
        <v>0</v>
      </c>
      <c r="AC44" s="23">
        <f t="shared" si="10"/>
        <v>0</v>
      </c>
      <c r="AD44" s="23">
        <f t="shared" si="11"/>
        <v>0</v>
      </c>
      <c r="AE44" s="23">
        <f t="shared" si="12"/>
        <v>0</v>
      </c>
      <c r="AF44" s="23">
        <f t="shared" si="13"/>
        <v>1682.3759166666669</v>
      </c>
      <c r="AG44" s="28" t="s">
        <v>22</v>
      </c>
      <c r="AH44" s="19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1"/>
    </row>
    <row r="45" spans="1:92" ht="19.5" thickBot="1" thickTop="1">
      <c r="A45" s="37"/>
      <c r="B45" s="87">
        <v>42</v>
      </c>
      <c r="C45" s="29">
        <v>15479</v>
      </c>
      <c r="D45" s="29" t="s">
        <v>24</v>
      </c>
      <c r="E45" s="29">
        <v>1</v>
      </c>
      <c r="F45" s="29" t="s">
        <v>92</v>
      </c>
      <c r="G45" s="30">
        <v>0</v>
      </c>
      <c r="H45" s="30">
        <v>1</v>
      </c>
      <c r="I45" s="30">
        <v>1</v>
      </c>
      <c r="J45" s="30">
        <v>1</v>
      </c>
      <c r="K45" s="14">
        <v>0</v>
      </c>
      <c r="L45" s="14">
        <v>4</v>
      </c>
      <c r="M45" s="14">
        <v>1</v>
      </c>
      <c r="N45" s="30">
        <v>1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18">
        <f>788.93+2160</f>
        <v>2948.93</v>
      </c>
      <c r="U45" s="18">
        <v>215</v>
      </c>
      <c r="V45" s="18">
        <f>8650+2500-T45-U45</f>
        <v>7986.07</v>
      </c>
      <c r="W45" s="18"/>
      <c r="X45" s="31"/>
      <c r="Y45" s="31"/>
      <c r="Z45" s="23">
        <f t="shared" si="7"/>
        <v>2410.82125</v>
      </c>
      <c r="AA45" s="23">
        <f t="shared" si="8"/>
        <v>0</v>
      </c>
      <c r="AB45" s="23">
        <f t="shared" si="9"/>
        <v>0</v>
      </c>
      <c r="AC45" s="23">
        <f t="shared" si="10"/>
        <v>0</v>
      </c>
      <c r="AD45" s="23">
        <f t="shared" si="11"/>
        <v>0</v>
      </c>
      <c r="AE45" s="23">
        <f t="shared" si="12"/>
        <v>723.246375</v>
      </c>
      <c r="AF45" s="23">
        <f t="shared" si="13"/>
        <v>1687.574875</v>
      </c>
      <c r="AG45" s="28" t="s">
        <v>93</v>
      </c>
      <c r="AH45" s="19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1"/>
    </row>
    <row r="46" spans="1:92" ht="27.75" thickBot="1" thickTop="1">
      <c r="A46" s="37"/>
      <c r="B46" s="87">
        <v>43</v>
      </c>
      <c r="C46" s="29">
        <v>15402</v>
      </c>
      <c r="D46" s="29" t="s">
        <v>24</v>
      </c>
      <c r="E46" s="29">
        <v>1</v>
      </c>
      <c r="F46" s="29" t="s">
        <v>103</v>
      </c>
      <c r="G46" s="17">
        <v>0</v>
      </c>
      <c r="H46" s="30">
        <v>1</v>
      </c>
      <c r="I46" s="30">
        <v>0</v>
      </c>
      <c r="J46" s="30">
        <v>1</v>
      </c>
      <c r="K46" s="17">
        <v>0</v>
      </c>
      <c r="L46" s="17">
        <v>4</v>
      </c>
      <c r="M46" s="30">
        <v>1</v>
      </c>
      <c r="N46" s="30">
        <v>1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41">
        <f>8135+2841+2453.76</f>
        <v>13429.76</v>
      </c>
      <c r="U46" s="41"/>
      <c r="V46" s="41">
        <f>8340+5294.76-T46</f>
        <v>205</v>
      </c>
      <c r="W46" s="41"/>
      <c r="X46" s="43"/>
      <c r="Y46" s="43"/>
      <c r="Z46" s="23">
        <f t="shared" si="7"/>
        <v>1729.97</v>
      </c>
      <c r="AA46" s="23">
        <f t="shared" si="8"/>
        <v>0</v>
      </c>
      <c r="AB46" s="23">
        <f t="shared" si="9"/>
        <v>0</v>
      </c>
      <c r="AC46" s="23">
        <f t="shared" si="10"/>
        <v>0</v>
      </c>
      <c r="AD46" s="23">
        <f t="shared" si="11"/>
        <v>0</v>
      </c>
      <c r="AE46" s="23">
        <f t="shared" si="12"/>
        <v>0</v>
      </c>
      <c r="AF46" s="23">
        <f t="shared" si="13"/>
        <v>1729.97</v>
      </c>
      <c r="AG46" s="28" t="s">
        <v>104</v>
      </c>
      <c r="AH46" s="19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1"/>
    </row>
    <row r="47" spans="1:92" ht="27.75" thickBot="1" thickTop="1">
      <c r="A47" s="37"/>
      <c r="B47" s="87">
        <v>44</v>
      </c>
      <c r="C47" s="15">
        <v>15492</v>
      </c>
      <c r="D47" s="15" t="s">
        <v>21</v>
      </c>
      <c r="E47" s="15">
        <v>1</v>
      </c>
      <c r="F47" s="15" t="s">
        <v>187</v>
      </c>
      <c r="G47" s="14">
        <v>0</v>
      </c>
      <c r="H47" s="14">
        <v>1</v>
      </c>
      <c r="I47" s="14">
        <v>1</v>
      </c>
      <c r="J47" s="14">
        <v>1</v>
      </c>
      <c r="K47" s="14">
        <v>0</v>
      </c>
      <c r="L47" s="14">
        <v>5</v>
      </c>
      <c r="M47" s="14">
        <v>1</v>
      </c>
      <c r="N47" s="14">
        <v>1</v>
      </c>
      <c r="O47" s="14">
        <v>0</v>
      </c>
      <c r="P47" s="14">
        <v>0</v>
      </c>
      <c r="Q47" s="14">
        <v>1</v>
      </c>
      <c r="R47" s="14">
        <v>0</v>
      </c>
      <c r="S47" s="14">
        <v>0</v>
      </c>
      <c r="T47" s="18">
        <v>11093.17</v>
      </c>
      <c r="U47" s="18"/>
      <c r="V47" s="18">
        <v>7000</v>
      </c>
      <c r="W47" s="18"/>
      <c r="X47" s="18"/>
      <c r="Y47" s="18"/>
      <c r="Z47" s="23">
        <f t="shared" si="7"/>
        <v>2509.317</v>
      </c>
      <c r="AA47" s="23">
        <f t="shared" si="8"/>
        <v>0</v>
      </c>
      <c r="AB47" s="23">
        <f t="shared" si="9"/>
        <v>0</v>
      </c>
      <c r="AC47" s="23">
        <f t="shared" si="10"/>
        <v>0</v>
      </c>
      <c r="AD47" s="23">
        <f t="shared" si="11"/>
        <v>0</v>
      </c>
      <c r="AE47" s="23">
        <f t="shared" si="12"/>
        <v>752.7950999999999</v>
      </c>
      <c r="AF47" s="23">
        <f t="shared" si="13"/>
        <v>1756.5219000000002</v>
      </c>
      <c r="AG47" s="28" t="s">
        <v>188</v>
      </c>
      <c r="AH47" s="19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1"/>
    </row>
    <row r="48" spans="1:92" ht="19.5" thickBot="1" thickTop="1">
      <c r="A48" s="37"/>
      <c r="B48" s="87">
        <v>45</v>
      </c>
      <c r="C48" s="15">
        <v>15395</v>
      </c>
      <c r="D48" s="15" t="s">
        <v>21</v>
      </c>
      <c r="E48" s="15">
        <v>1</v>
      </c>
      <c r="F48" s="15" t="s">
        <v>168</v>
      </c>
      <c r="G48" s="14">
        <v>0</v>
      </c>
      <c r="H48" s="14">
        <v>1</v>
      </c>
      <c r="I48" s="14">
        <v>0</v>
      </c>
      <c r="J48" s="14">
        <v>1</v>
      </c>
      <c r="K48" s="14">
        <v>0</v>
      </c>
      <c r="L48" s="14">
        <v>5</v>
      </c>
      <c r="M48" s="14">
        <v>1</v>
      </c>
      <c r="N48" s="14">
        <v>1</v>
      </c>
      <c r="O48" s="14">
        <v>0</v>
      </c>
      <c r="P48" s="14">
        <v>0</v>
      </c>
      <c r="Q48" s="14">
        <v>1</v>
      </c>
      <c r="R48" s="14">
        <v>0</v>
      </c>
      <c r="S48" s="14">
        <v>0</v>
      </c>
      <c r="T48" s="18">
        <f>10779.3+2081.53</f>
        <v>12860.83</v>
      </c>
      <c r="U48" s="18"/>
      <c r="V48" s="18">
        <f>10786.65+4500-T48</f>
        <v>2425.8199999999997</v>
      </c>
      <c r="W48" s="18"/>
      <c r="X48" s="18"/>
      <c r="Y48" s="18"/>
      <c r="Z48" s="23">
        <f t="shared" si="7"/>
        <v>1771.247</v>
      </c>
      <c r="AA48" s="23">
        <f t="shared" si="8"/>
        <v>0</v>
      </c>
      <c r="AB48" s="23">
        <f t="shared" si="9"/>
        <v>0</v>
      </c>
      <c r="AC48" s="23">
        <f t="shared" si="10"/>
        <v>0</v>
      </c>
      <c r="AD48" s="23">
        <f t="shared" si="11"/>
        <v>0</v>
      </c>
      <c r="AE48" s="23">
        <f t="shared" si="12"/>
        <v>0</v>
      </c>
      <c r="AF48" s="23">
        <f t="shared" si="13"/>
        <v>1771.247</v>
      </c>
      <c r="AG48" s="71" t="s">
        <v>169</v>
      </c>
      <c r="AH48" s="71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1"/>
    </row>
    <row r="49" spans="1:92" ht="22.5" customHeight="1" thickBot="1" thickTop="1">
      <c r="A49" s="16"/>
      <c r="B49" s="87">
        <v>46</v>
      </c>
      <c r="C49" s="33">
        <v>15420</v>
      </c>
      <c r="D49" s="33" t="s">
        <v>21</v>
      </c>
      <c r="E49" s="33">
        <v>1</v>
      </c>
      <c r="F49" s="33" t="s">
        <v>39</v>
      </c>
      <c r="G49" s="32">
        <v>0</v>
      </c>
      <c r="H49" s="32">
        <v>1</v>
      </c>
      <c r="I49" s="32">
        <v>0</v>
      </c>
      <c r="J49" s="32">
        <v>1</v>
      </c>
      <c r="K49" s="32">
        <v>0</v>
      </c>
      <c r="L49" s="32">
        <v>5</v>
      </c>
      <c r="M49" s="32">
        <v>1</v>
      </c>
      <c r="N49" s="32">
        <v>1</v>
      </c>
      <c r="O49" s="32">
        <v>0</v>
      </c>
      <c r="P49" s="32">
        <v>0</v>
      </c>
      <c r="Q49" s="32">
        <v>1</v>
      </c>
      <c r="R49" s="32">
        <v>0</v>
      </c>
      <c r="S49" s="32">
        <v>0</v>
      </c>
      <c r="T49" s="34"/>
      <c r="U49" s="34">
        <v>128.84</v>
      </c>
      <c r="V49" s="34">
        <f>6500.91+2500-U49</f>
        <v>8872.07</v>
      </c>
      <c r="W49" s="34"/>
      <c r="X49" s="31"/>
      <c r="Y49" s="31"/>
      <c r="Z49" s="35">
        <f t="shared" si="7"/>
        <v>1796.3167999999998</v>
      </c>
      <c r="AA49" s="35">
        <f t="shared" si="8"/>
        <v>0</v>
      </c>
      <c r="AB49" s="35">
        <f t="shared" si="9"/>
        <v>0</v>
      </c>
      <c r="AC49" s="35">
        <f t="shared" si="10"/>
        <v>0</v>
      </c>
      <c r="AD49" s="35">
        <f t="shared" si="11"/>
        <v>0</v>
      </c>
      <c r="AE49" s="35">
        <f t="shared" si="12"/>
        <v>0</v>
      </c>
      <c r="AF49" s="35">
        <f t="shared" si="13"/>
        <v>1796.3167999999998</v>
      </c>
      <c r="AG49" s="36" t="s">
        <v>40</v>
      </c>
      <c r="AH49" s="36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1"/>
    </row>
    <row r="50" spans="1:92" ht="19.5" thickBot="1" thickTop="1">
      <c r="A50" s="16">
        <v>203</v>
      </c>
      <c r="B50" s="87">
        <v>47</v>
      </c>
      <c r="C50" s="15">
        <v>15315</v>
      </c>
      <c r="D50" s="15" t="s">
        <v>24</v>
      </c>
      <c r="E50" s="15">
        <v>1</v>
      </c>
      <c r="F50" s="15" t="s">
        <v>139</v>
      </c>
      <c r="G50" s="14">
        <v>0</v>
      </c>
      <c r="H50" s="14">
        <v>1</v>
      </c>
      <c r="I50" s="14">
        <v>1</v>
      </c>
      <c r="J50" s="14">
        <v>1</v>
      </c>
      <c r="K50" s="14">
        <v>0</v>
      </c>
      <c r="L50" s="14">
        <v>4</v>
      </c>
      <c r="M50" s="14">
        <v>1</v>
      </c>
      <c r="N50" s="14">
        <v>1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8">
        <v>67.62</v>
      </c>
      <c r="U50" s="18"/>
      <c r="V50" s="18">
        <f>5500+5460-T50</f>
        <v>10892.38</v>
      </c>
      <c r="W50" s="18"/>
      <c r="X50" s="18"/>
      <c r="Y50" s="18"/>
      <c r="Z50" s="23">
        <f t="shared" si="7"/>
        <v>2731.5474999999997</v>
      </c>
      <c r="AA50" s="23">
        <f t="shared" si="8"/>
        <v>0</v>
      </c>
      <c r="AB50" s="23">
        <f t="shared" si="9"/>
        <v>0</v>
      </c>
      <c r="AC50" s="23">
        <f t="shared" si="10"/>
        <v>0</v>
      </c>
      <c r="AD50" s="23">
        <f t="shared" si="11"/>
        <v>0</v>
      </c>
      <c r="AE50" s="23">
        <f t="shared" si="12"/>
        <v>819.4642499999999</v>
      </c>
      <c r="AF50" s="23">
        <f t="shared" si="13"/>
        <v>1912.0832499999997</v>
      </c>
      <c r="AG50" s="28" t="s">
        <v>153</v>
      </c>
      <c r="AH50" s="67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1"/>
    </row>
    <row r="51" spans="1:92" ht="19.5" thickBot="1" thickTop="1">
      <c r="A51" s="16">
        <v>35</v>
      </c>
      <c r="B51" s="87">
        <v>48</v>
      </c>
      <c r="C51" s="15">
        <v>15385</v>
      </c>
      <c r="D51" s="15" t="s">
        <v>21</v>
      </c>
      <c r="E51" s="15">
        <v>1</v>
      </c>
      <c r="F51" s="15" t="s">
        <v>57</v>
      </c>
      <c r="G51" s="14">
        <v>0</v>
      </c>
      <c r="H51" s="14">
        <v>1</v>
      </c>
      <c r="I51" s="14">
        <v>0</v>
      </c>
      <c r="J51" s="14">
        <v>1</v>
      </c>
      <c r="K51" s="14">
        <v>0</v>
      </c>
      <c r="L51" s="14">
        <v>5</v>
      </c>
      <c r="M51" s="14">
        <v>1</v>
      </c>
      <c r="N51" s="14">
        <v>1</v>
      </c>
      <c r="O51" s="14">
        <v>1</v>
      </c>
      <c r="P51" s="14">
        <v>0</v>
      </c>
      <c r="Q51" s="14">
        <v>1</v>
      </c>
      <c r="R51" s="14">
        <v>0</v>
      </c>
      <c r="S51" s="14">
        <v>0</v>
      </c>
      <c r="T51" s="18">
        <v>6244.92</v>
      </c>
      <c r="U51" s="18"/>
      <c r="V51" s="18">
        <f>7240+9761.59-T51</f>
        <v>10756.67</v>
      </c>
      <c r="W51" s="18"/>
      <c r="X51" s="31"/>
      <c r="Y51" s="31"/>
      <c r="Z51" s="23">
        <f t="shared" si="7"/>
        <v>2775.826</v>
      </c>
      <c r="AA51" s="23">
        <f t="shared" si="8"/>
        <v>832.7478</v>
      </c>
      <c r="AB51" s="23">
        <f t="shared" si="9"/>
        <v>0</v>
      </c>
      <c r="AC51" s="23">
        <f t="shared" si="10"/>
        <v>0</v>
      </c>
      <c r="AD51" s="23">
        <f t="shared" si="11"/>
        <v>0</v>
      </c>
      <c r="AE51" s="23">
        <f t="shared" si="12"/>
        <v>0</v>
      </c>
      <c r="AF51" s="23">
        <f t="shared" si="13"/>
        <v>1943.0782</v>
      </c>
      <c r="AG51" s="28" t="s">
        <v>58</v>
      </c>
      <c r="AH51" s="46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1"/>
    </row>
    <row r="52" spans="1:92" ht="22.5" customHeight="1" thickBot="1" thickTop="1">
      <c r="A52" s="16">
        <v>163</v>
      </c>
      <c r="B52" s="87">
        <v>49</v>
      </c>
      <c r="C52" s="15">
        <v>15343</v>
      </c>
      <c r="D52" s="15" t="s">
        <v>24</v>
      </c>
      <c r="E52" s="15">
        <v>1</v>
      </c>
      <c r="F52" s="15" t="s">
        <v>44</v>
      </c>
      <c r="G52" s="14">
        <v>0</v>
      </c>
      <c r="H52" s="14">
        <v>1</v>
      </c>
      <c r="I52" s="14">
        <v>0</v>
      </c>
      <c r="J52" s="14">
        <v>1</v>
      </c>
      <c r="K52" s="14">
        <v>0</v>
      </c>
      <c r="L52" s="14">
        <v>4</v>
      </c>
      <c r="M52" s="14">
        <v>1</v>
      </c>
      <c r="N52" s="14">
        <v>1</v>
      </c>
      <c r="O52" s="14">
        <v>0</v>
      </c>
      <c r="P52" s="14">
        <v>0</v>
      </c>
      <c r="Q52" s="14">
        <v>1</v>
      </c>
      <c r="R52" s="14">
        <v>1</v>
      </c>
      <c r="S52" s="14">
        <v>0</v>
      </c>
      <c r="T52" s="18">
        <v>17383.23</v>
      </c>
      <c r="U52" s="18"/>
      <c r="V52" s="18">
        <v>1.57</v>
      </c>
      <c r="W52" s="18"/>
      <c r="X52" s="18"/>
      <c r="Y52" s="18"/>
      <c r="Z52" s="23">
        <f t="shared" si="7"/>
        <v>2173.29625</v>
      </c>
      <c r="AA52" s="23">
        <f t="shared" si="8"/>
        <v>0</v>
      </c>
      <c r="AB52" s="23">
        <f t="shared" si="9"/>
        <v>0</v>
      </c>
      <c r="AC52" s="23">
        <f t="shared" si="10"/>
        <v>217.329625</v>
      </c>
      <c r="AD52" s="23">
        <f t="shared" si="11"/>
        <v>0</v>
      </c>
      <c r="AE52" s="23">
        <f t="shared" si="12"/>
        <v>0</v>
      </c>
      <c r="AF52" s="23">
        <f t="shared" si="13"/>
        <v>1955.9666249999998</v>
      </c>
      <c r="AG52" s="28" t="s">
        <v>22</v>
      </c>
      <c r="AH52" s="19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1"/>
    </row>
    <row r="53" spans="1:92" ht="19.5" thickBot="1" thickTop="1">
      <c r="A53" s="16">
        <v>138</v>
      </c>
      <c r="B53" s="87">
        <v>50</v>
      </c>
      <c r="C53" s="29">
        <v>15472</v>
      </c>
      <c r="D53" s="29" t="s">
        <v>24</v>
      </c>
      <c r="E53" s="29">
        <v>1</v>
      </c>
      <c r="F53" s="29" t="s">
        <v>127</v>
      </c>
      <c r="G53" s="17">
        <v>0</v>
      </c>
      <c r="H53" s="30">
        <v>1</v>
      </c>
      <c r="I53" s="30">
        <v>0</v>
      </c>
      <c r="J53" s="30">
        <v>1</v>
      </c>
      <c r="K53" s="17">
        <v>0</v>
      </c>
      <c r="L53" s="17">
        <v>4</v>
      </c>
      <c r="M53" s="30">
        <v>1</v>
      </c>
      <c r="N53" s="30">
        <v>1</v>
      </c>
      <c r="O53" s="30">
        <v>1</v>
      </c>
      <c r="P53" s="30">
        <v>0</v>
      </c>
      <c r="Q53" s="30">
        <v>0</v>
      </c>
      <c r="R53" s="30">
        <v>0</v>
      </c>
      <c r="S53" s="30">
        <v>0</v>
      </c>
      <c r="T53" s="41">
        <f>541.18+718.21</f>
        <v>1259.3899999999999</v>
      </c>
      <c r="U53" s="41"/>
      <c r="V53" s="41">
        <f>5100+6740-T53</f>
        <v>10580.61</v>
      </c>
      <c r="W53" s="41"/>
      <c r="X53" s="43"/>
      <c r="Y53" s="43"/>
      <c r="Z53" s="23">
        <f t="shared" si="7"/>
        <v>2802.57625</v>
      </c>
      <c r="AA53" s="23">
        <f t="shared" si="8"/>
        <v>840.772875</v>
      </c>
      <c r="AB53" s="23">
        <f t="shared" si="9"/>
        <v>0</v>
      </c>
      <c r="AC53" s="23">
        <f t="shared" si="10"/>
        <v>0</v>
      </c>
      <c r="AD53" s="23">
        <f t="shared" si="11"/>
        <v>0</v>
      </c>
      <c r="AE53" s="23">
        <f t="shared" si="12"/>
        <v>0</v>
      </c>
      <c r="AF53" s="23">
        <f t="shared" si="13"/>
        <v>1961.803375</v>
      </c>
      <c r="AG53" s="48" t="s">
        <v>101</v>
      </c>
      <c r="AH53" s="46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1"/>
    </row>
    <row r="54" spans="1:92" ht="22.5" customHeight="1" thickBot="1" thickTop="1">
      <c r="A54" s="16"/>
      <c r="B54" s="87">
        <v>51</v>
      </c>
      <c r="C54" s="15">
        <v>15453</v>
      </c>
      <c r="D54" s="15" t="s">
        <v>21</v>
      </c>
      <c r="E54" s="15">
        <v>1</v>
      </c>
      <c r="F54" s="15" t="s">
        <v>141</v>
      </c>
      <c r="G54" s="14">
        <v>0</v>
      </c>
      <c r="H54" s="14">
        <v>1</v>
      </c>
      <c r="I54" s="14">
        <v>0</v>
      </c>
      <c r="J54" s="14">
        <v>1</v>
      </c>
      <c r="K54" s="14">
        <v>0</v>
      </c>
      <c r="L54" s="14">
        <v>4</v>
      </c>
      <c r="M54" s="14">
        <v>1</v>
      </c>
      <c r="N54" s="14">
        <v>1</v>
      </c>
      <c r="O54" s="14">
        <v>1</v>
      </c>
      <c r="P54" s="14">
        <v>0</v>
      </c>
      <c r="Q54" s="14">
        <v>0</v>
      </c>
      <c r="R54" s="14">
        <v>0</v>
      </c>
      <c r="S54" s="14">
        <v>0</v>
      </c>
      <c r="T54" s="18">
        <f>8409.74+14143.34</f>
        <v>22553.08</v>
      </c>
      <c r="U54" s="18"/>
      <c r="V54" s="18">
        <f>8413.98+14151-T54</f>
        <v>11.899999999997817</v>
      </c>
      <c r="W54" s="18"/>
      <c r="X54" s="18"/>
      <c r="Y54" s="18"/>
      <c r="Z54" s="23">
        <f t="shared" si="7"/>
        <v>2822.1099999999997</v>
      </c>
      <c r="AA54" s="23">
        <f t="shared" si="8"/>
        <v>846.6329999999999</v>
      </c>
      <c r="AB54" s="23">
        <f t="shared" si="9"/>
        <v>0</v>
      </c>
      <c r="AC54" s="23">
        <f t="shared" si="10"/>
        <v>0</v>
      </c>
      <c r="AD54" s="23">
        <f t="shared" si="11"/>
        <v>0</v>
      </c>
      <c r="AE54" s="23">
        <f t="shared" si="12"/>
        <v>0</v>
      </c>
      <c r="AF54" s="23">
        <f t="shared" si="13"/>
        <v>1975.4769999999999</v>
      </c>
      <c r="AG54" s="28" t="s">
        <v>154</v>
      </c>
      <c r="AH54" s="28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1"/>
    </row>
    <row r="55" spans="1:92" ht="22.5" customHeight="1" thickBot="1" thickTop="1">
      <c r="A55" s="16"/>
      <c r="B55" s="87">
        <v>52</v>
      </c>
      <c r="C55" s="29">
        <v>15318</v>
      </c>
      <c r="D55" s="29" t="s">
        <v>24</v>
      </c>
      <c r="E55" s="29">
        <v>1</v>
      </c>
      <c r="F55" s="29" t="s">
        <v>138</v>
      </c>
      <c r="G55" s="17">
        <v>0</v>
      </c>
      <c r="H55" s="30">
        <v>1</v>
      </c>
      <c r="I55" s="30">
        <v>0</v>
      </c>
      <c r="J55" s="30">
        <v>1</v>
      </c>
      <c r="K55" s="17">
        <v>0</v>
      </c>
      <c r="L55" s="17">
        <v>4</v>
      </c>
      <c r="M55" s="30">
        <v>1</v>
      </c>
      <c r="N55" s="30">
        <v>1</v>
      </c>
      <c r="O55" s="30">
        <v>1</v>
      </c>
      <c r="P55" s="30">
        <v>0</v>
      </c>
      <c r="Q55" s="30">
        <v>0</v>
      </c>
      <c r="R55" s="30">
        <v>0</v>
      </c>
      <c r="S55" s="30">
        <v>0</v>
      </c>
      <c r="T55" s="41">
        <v>14340.79</v>
      </c>
      <c r="U55" s="41"/>
      <c r="V55" s="41">
        <f>14359.1+4100-T55</f>
        <v>4118.309999999998</v>
      </c>
      <c r="W55" s="41"/>
      <c r="X55" s="41"/>
      <c r="Y55" s="41"/>
      <c r="Z55" s="23">
        <f t="shared" si="7"/>
        <v>2822.1762499999995</v>
      </c>
      <c r="AA55" s="23">
        <f t="shared" si="8"/>
        <v>846.6528749999999</v>
      </c>
      <c r="AB55" s="23">
        <f t="shared" si="9"/>
        <v>0</v>
      </c>
      <c r="AC55" s="23">
        <f t="shared" si="10"/>
        <v>0</v>
      </c>
      <c r="AD55" s="23">
        <f t="shared" si="11"/>
        <v>0</v>
      </c>
      <c r="AE55" s="23">
        <f t="shared" si="12"/>
        <v>0</v>
      </c>
      <c r="AF55" s="23">
        <f t="shared" si="13"/>
        <v>1975.5233749999998</v>
      </c>
      <c r="AG55" s="28" t="s">
        <v>152</v>
      </c>
      <c r="AH55" s="19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1"/>
    </row>
    <row r="56" spans="1:92" s="45" customFormat="1" ht="19.5" thickBot="1" thickTop="1">
      <c r="A56" s="42"/>
      <c r="B56" s="88">
        <v>53</v>
      </c>
      <c r="C56" s="29">
        <v>15443</v>
      </c>
      <c r="D56" s="29" t="s">
        <v>24</v>
      </c>
      <c r="E56" s="29">
        <v>1</v>
      </c>
      <c r="F56" s="29" t="s">
        <v>118</v>
      </c>
      <c r="G56" s="17">
        <v>0</v>
      </c>
      <c r="H56" s="30">
        <v>1</v>
      </c>
      <c r="I56" s="30">
        <v>0</v>
      </c>
      <c r="J56" s="30">
        <v>1</v>
      </c>
      <c r="K56" s="17">
        <v>0</v>
      </c>
      <c r="L56" s="17">
        <v>3</v>
      </c>
      <c r="M56" s="30">
        <v>1</v>
      </c>
      <c r="N56" s="30">
        <v>1</v>
      </c>
      <c r="O56" s="30">
        <v>0</v>
      </c>
      <c r="P56" s="30">
        <v>0</v>
      </c>
      <c r="Q56" s="30">
        <v>1</v>
      </c>
      <c r="R56" s="30">
        <v>0</v>
      </c>
      <c r="S56" s="30">
        <v>0</v>
      </c>
      <c r="T56" s="41">
        <f>1895.26+6394.31+1238.4</f>
        <v>9527.97</v>
      </c>
      <c r="U56" s="41"/>
      <c r="V56" s="41">
        <f>3133.7+7639.92-T56</f>
        <v>1245.6499999999996</v>
      </c>
      <c r="W56" s="41"/>
      <c r="X56" s="43"/>
      <c r="Y56" s="43"/>
      <c r="Z56" s="23">
        <f t="shared" si="7"/>
        <v>2003.2116666666664</v>
      </c>
      <c r="AA56" s="23">
        <f t="shared" si="8"/>
        <v>0</v>
      </c>
      <c r="AB56" s="23">
        <f t="shared" si="9"/>
        <v>0</v>
      </c>
      <c r="AC56" s="23">
        <f t="shared" si="10"/>
        <v>0</v>
      </c>
      <c r="AD56" s="23">
        <f t="shared" si="11"/>
        <v>0</v>
      </c>
      <c r="AE56" s="23">
        <f t="shared" si="12"/>
        <v>0</v>
      </c>
      <c r="AF56" s="23">
        <f t="shared" si="13"/>
        <v>2003.2116666666664</v>
      </c>
      <c r="AG56" s="28" t="s">
        <v>119</v>
      </c>
      <c r="AH56" s="19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</row>
    <row r="57" spans="1:92" ht="19.5" thickBot="1" thickTop="1">
      <c r="A57" s="16">
        <v>184</v>
      </c>
      <c r="B57" s="88">
        <v>54</v>
      </c>
      <c r="C57" s="15">
        <v>15367</v>
      </c>
      <c r="D57" s="15" t="s">
        <v>24</v>
      </c>
      <c r="E57" s="15">
        <v>1</v>
      </c>
      <c r="F57" s="15" t="s">
        <v>130</v>
      </c>
      <c r="G57" s="14">
        <v>0</v>
      </c>
      <c r="H57" s="14">
        <v>1</v>
      </c>
      <c r="I57" s="14">
        <v>0</v>
      </c>
      <c r="J57" s="14">
        <v>1</v>
      </c>
      <c r="K57" s="14">
        <v>0</v>
      </c>
      <c r="L57" s="14">
        <v>4</v>
      </c>
      <c r="M57" s="14">
        <v>1</v>
      </c>
      <c r="N57" s="14">
        <v>1</v>
      </c>
      <c r="O57" s="14">
        <v>0</v>
      </c>
      <c r="P57" s="14">
        <v>1</v>
      </c>
      <c r="Q57" s="14">
        <v>0</v>
      </c>
      <c r="R57" s="14">
        <v>0</v>
      </c>
      <c r="S57" s="14">
        <v>1</v>
      </c>
      <c r="T57" s="18">
        <f>1265.8+737.2</f>
        <v>2003</v>
      </c>
      <c r="U57" s="18"/>
      <c r="V57" s="18">
        <f>10200+2500-T57</f>
        <v>10697</v>
      </c>
      <c r="W57" s="18"/>
      <c r="X57" s="31"/>
      <c r="Y57" s="31"/>
      <c r="Z57" s="23">
        <f t="shared" si="7"/>
        <v>2924.625</v>
      </c>
      <c r="AA57" s="23">
        <f t="shared" si="8"/>
        <v>0</v>
      </c>
      <c r="AB57" s="23">
        <f t="shared" si="9"/>
        <v>0</v>
      </c>
      <c r="AC57" s="23">
        <f t="shared" si="10"/>
        <v>0</v>
      </c>
      <c r="AD57" s="23">
        <f t="shared" si="11"/>
        <v>877.3874999999999</v>
      </c>
      <c r="AE57" s="23">
        <f t="shared" si="12"/>
        <v>0</v>
      </c>
      <c r="AF57" s="23">
        <f t="shared" si="13"/>
        <v>2047.2375000000002</v>
      </c>
      <c r="AG57" s="28" t="s">
        <v>149</v>
      </c>
      <c r="AH57" s="67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22.5" customHeight="1" thickBot="1" thickTop="1">
      <c r="A58" s="16">
        <v>4</v>
      </c>
      <c r="B58" s="88">
        <v>55</v>
      </c>
      <c r="C58" s="29">
        <v>15335</v>
      </c>
      <c r="D58" s="29" t="s">
        <v>24</v>
      </c>
      <c r="E58" s="29">
        <v>1</v>
      </c>
      <c r="F58" s="29" t="s">
        <v>129</v>
      </c>
      <c r="G58" s="30">
        <v>0</v>
      </c>
      <c r="H58" s="30">
        <v>1</v>
      </c>
      <c r="I58" s="30">
        <v>0</v>
      </c>
      <c r="J58" s="30">
        <v>1</v>
      </c>
      <c r="K58" s="14">
        <v>0</v>
      </c>
      <c r="L58" s="14">
        <v>5</v>
      </c>
      <c r="M58" s="14">
        <v>1</v>
      </c>
      <c r="N58" s="30">
        <v>1</v>
      </c>
      <c r="O58" s="30">
        <v>1</v>
      </c>
      <c r="P58" s="30">
        <v>0</v>
      </c>
      <c r="Q58" s="30">
        <v>1</v>
      </c>
      <c r="R58" s="30">
        <v>0</v>
      </c>
      <c r="S58" s="30">
        <v>0</v>
      </c>
      <c r="T58" s="18">
        <v>12955.43</v>
      </c>
      <c r="U58" s="18"/>
      <c r="V58" s="18">
        <f>8218.33+13088.91-T58</f>
        <v>8351.809999999998</v>
      </c>
      <c r="W58" s="18"/>
      <c r="X58" s="18"/>
      <c r="Y58" s="18"/>
      <c r="Z58" s="23">
        <f t="shared" si="7"/>
        <v>2965.9049999999997</v>
      </c>
      <c r="AA58" s="23">
        <f t="shared" si="8"/>
        <v>889.7715</v>
      </c>
      <c r="AB58" s="23">
        <f t="shared" si="9"/>
        <v>0</v>
      </c>
      <c r="AC58" s="23">
        <f t="shared" si="10"/>
        <v>0</v>
      </c>
      <c r="AD58" s="23">
        <f t="shared" si="11"/>
        <v>0</v>
      </c>
      <c r="AE58" s="23">
        <f t="shared" si="12"/>
        <v>0</v>
      </c>
      <c r="AF58" s="23">
        <f t="shared" si="13"/>
        <v>2076.1335</v>
      </c>
      <c r="AG58" s="28" t="s">
        <v>101</v>
      </c>
      <c r="AH58" s="19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22.5" customHeight="1" thickBot="1" thickTop="1">
      <c r="A59" s="16">
        <v>199</v>
      </c>
      <c r="B59" s="88">
        <v>56</v>
      </c>
      <c r="C59" s="15">
        <v>15449</v>
      </c>
      <c r="D59" s="15" t="s">
        <v>24</v>
      </c>
      <c r="E59" s="15">
        <v>1</v>
      </c>
      <c r="F59" s="15" t="s">
        <v>140</v>
      </c>
      <c r="G59" s="14">
        <v>0</v>
      </c>
      <c r="H59" s="14">
        <v>1</v>
      </c>
      <c r="I59" s="14">
        <v>1</v>
      </c>
      <c r="J59" s="14">
        <v>1</v>
      </c>
      <c r="K59" s="14">
        <v>0</v>
      </c>
      <c r="L59" s="14">
        <v>4</v>
      </c>
      <c r="M59" s="14">
        <v>1</v>
      </c>
      <c r="N59" s="14">
        <v>1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8">
        <v>4898.38</v>
      </c>
      <c r="U59" s="18"/>
      <c r="V59" s="18">
        <f>9560+4898.38-T59</f>
        <v>9560</v>
      </c>
      <c r="W59" s="18"/>
      <c r="X59" s="18"/>
      <c r="Y59" s="18"/>
      <c r="Z59" s="23">
        <f t="shared" si="7"/>
        <v>3002.2975</v>
      </c>
      <c r="AA59" s="23">
        <f t="shared" si="8"/>
        <v>0</v>
      </c>
      <c r="AB59" s="23">
        <f t="shared" si="9"/>
        <v>0</v>
      </c>
      <c r="AC59" s="23">
        <f t="shared" si="10"/>
        <v>0</v>
      </c>
      <c r="AD59" s="23">
        <f t="shared" si="11"/>
        <v>0</v>
      </c>
      <c r="AE59" s="23">
        <f t="shared" si="12"/>
        <v>900.68925</v>
      </c>
      <c r="AF59" s="23">
        <f t="shared" si="13"/>
        <v>2101.60825</v>
      </c>
      <c r="AG59" s="28" t="s">
        <v>101</v>
      </c>
      <c r="AH59" s="46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9.5" thickBot="1" thickTop="1">
      <c r="A60" s="16"/>
      <c r="B60" s="88">
        <v>57</v>
      </c>
      <c r="C60" s="15">
        <v>15442</v>
      </c>
      <c r="D60" s="15" t="s">
        <v>21</v>
      </c>
      <c r="E60" s="15">
        <v>1</v>
      </c>
      <c r="F60" s="15" t="s">
        <v>144</v>
      </c>
      <c r="G60" s="75">
        <v>0</v>
      </c>
      <c r="H60" s="75">
        <v>1</v>
      </c>
      <c r="I60" s="75">
        <v>0</v>
      </c>
      <c r="J60" s="75">
        <v>1</v>
      </c>
      <c r="K60" s="75">
        <v>0</v>
      </c>
      <c r="L60" s="75">
        <v>5</v>
      </c>
      <c r="M60" s="75">
        <v>1</v>
      </c>
      <c r="N60" s="75">
        <v>1</v>
      </c>
      <c r="O60" s="75">
        <v>1</v>
      </c>
      <c r="P60" s="75">
        <v>0</v>
      </c>
      <c r="Q60" s="75">
        <v>1</v>
      </c>
      <c r="R60" s="75">
        <v>0</v>
      </c>
      <c r="S60" s="75">
        <v>0</v>
      </c>
      <c r="T60" s="18">
        <f>2588+15209.76</f>
        <v>17797.760000000002</v>
      </c>
      <c r="U60" s="18">
        <v>85.68</v>
      </c>
      <c r="V60" s="18">
        <f>9476+15209.85-T60-U60</f>
        <v>6802.409999999996</v>
      </c>
      <c r="W60" s="18"/>
      <c r="X60" s="18"/>
      <c r="Y60" s="18"/>
      <c r="Z60" s="23">
        <f t="shared" si="7"/>
        <v>3154.8235999999993</v>
      </c>
      <c r="AA60" s="23">
        <f t="shared" si="8"/>
        <v>946.4470799999997</v>
      </c>
      <c r="AB60" s="23">
        <f t="shared" si="9"/>
        <v>0</v>
      </c>
      <c r="AC60" s="23">
        <f t="shared" si="10"/>
        <v>0</v>
      </c>
      <c r="AD60" s="23">
        <f t="shared" si="11"/>
        <v>0</v>
      </c>
      <c r="AE60" s="23">
        <f t="shared" si="12"/>
        <v>0</v>
      </c>
      <c r="AF60" s="23">
        <f t="shared" si="13"/>
        <v>2208.37652</v>
      </c>
      <c r="AG60" s="28" t="s">
        <v>155</v>
      </c>
      <c r="AH60" s="21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</row>
    <row r="61" spans="1:92" ht="22.5" customHeight="1" thickBot="1" thickTop="1">
      <c r="A61" s="16"/>
      <c r="B61" s="88">
        <v>58</v>
      </c>
      <c r="C61" s="29">
        <v>15387</v>
      </c>
      <c r="D61" s="29" t="s">
        <v>24</v>
      </c>
      <c r="E61" s="29">
        <v>1</v>
      </c>
      <c r="F61" s="29" t="s">
        <v>162</v>
      </c>
      <c r="G61" s="17">
        <v>0</v>
      </c>
      <c r="H61" s="30">
        <v>1</v>
      </c>
      <c r="I61" s="30">
        <v>0</v>
      </c>
      <c r="J61" s="30">
        <v>1</v>
      </c>
      <c r="K61" s="17">
        <v>0</v>
      </c>
      <c r="L61" s="17">
        <v>4</v>
      </c>
      <c r="M61" s="30">
        <v>1</v>
      </c>
      <c r="N61" s="30">
        <v>1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41">
        <f>9396.03+1945.13</f>
        <v>11341.16</v>
      </c>
      <c r="U61" s="41"/>
      <c r="V61" s="41">
        <f>9405.59+5100-T61</f>
        <v>3164.4300000000003</v>
      </c>
      <c r="W61" s="41"/>
      <c r="X61" s="41"/>
      <c r="Y61" s="41"/>
      <c r="Z61" s="23">
        <f t="shared" si="7"/>
        <v>2208.7525</v>
      </c>
      <c r="AA61" s="23">
        <f t="shared" si="8"/>
        <v>0</v>
      </c>
      <c r="AB61" s="23">
        <f t="shared" si="9"/>
        <v>0</v>
      </c>
      <c r="AC61" s="23">
        <f t="shared" si="10"/>
        <v>0</v>
      </c>
      <c r="AD61" s="23">
        <f t="shared" si="11"/>
        <v>0</v>
      </c>
      <c r="AE61" s="23">
        <f t="shared" si="12"/>
        <v>0</v>
      </c>
      <c r="AF61" s="23">
        <f t="shared" si="13"/>
        <v>2208.7525</v>
      </c>
      <c r="AG61" s="28" t="s">
        <v>163</v>
      </c>
      <c r="AH61" s="19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</row>
    <row r="62" spans="2:215" s="59" customFormat="1" ht="19.5" thickBot="1" thickTop="1">
      <c r="B62" s="88">
        <v>59</v>
      </c>
      <c r="C62" s="29">
        <v>2412</v>
      </c>
      <c r="D62" s="47" t="s">
        <v>20</v>
      </c>
      <c r="E62" s="29">
        <v>1</v>
      </c>
      <c r="F62" s="29" t="s">
        <v>55</v>
      </c>
      <c r="G62" s="30">
        <v>0</v>
      </c>
      <c r="H62" s="30">
        <v>1</v>
      </c>
      <c r="I62" s="17">
        <v>0</v>
      </c>
      <c r="J62" s="30">
        <v>1</v>
      </c>
      <c r="K62" s="14">
        <v>0</v>
      </c>
      <c r="L62" s="14">
        <v>6</v>
      </c>
      <c r="M62" s="14">
        <v>1</v>
      </c>
      <c r="N62" s="30">
        <v>1</v>
      </c>
      <c r="O62" s="30">
        <v>0</v>
      </c>
      <c r="P62" s="30">
        <v>1</v>
      </c>
      <c r="Q62" s="30">
        <v>0</v>
      </c>
      <c r="R62" s="30">
        <v>0</v>
      </c>
      <c r="S62" s="30">
        <v>0</v>
      </c>
      <c r="T62" s="18"/>
      <c r="U62" s="18"/>
      <c r="V62" s="18">
        <f>6900+6415</f>
        <v>13315</v>
      </c>
      <c r="W62" s="18"/>
      <c r="X62" s="18"/>
      <c r="Y62" s="18"/>
      <c r="Z62" s="23">
        <f t="shared" si="7"/>
        <v>2219.1666666666665</v>
      </c>
      <c r="AA62" s="23">
        <f t="shared" si="8"/>
        <v>0</v>
      </c>
      <c r="AB62" s="23">
        <f t="shared" si="9"/>
        <v>0</v>
      </c>
      <c r="AC62" s="23">
        <f t="shared" si="10"/>
        <v>0</v>
      </c>
      <c r="AD62" s="23">
        <f t="shared" si="11"/>
        <v>0</v>
      </c>
      <c r="AE62" s="23">
        <f t="shared" si="12"/>
        <v>0</v>
      </c>
      <c r="AF62" s="23">
        <f t="shared" si="13"/>
        <v>2219.1666666666665</v>
      </c>
      <c r="AG62" s="28" t="s">
        <v>56</v>
      </c>
      <c r="AH62" s="19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>
        <v>2</v>
      </c>
      <c r="CN62" s="60" t="s">
        <v>33</v>
      </c>
      <c r="CO62" s="59">
        <v>15204</v>
      </c>
      <c r="CP62" s="59" t="s">
        <v>21</v>
      </c>
      <c r="CQ62" s="59">
        <v>1</v>
      </c>
      <c r="CR62" s="59" t="s">
        <v>34</v>
      </c>
      <c r="CS62" s="59">
        <v>0</v>
      </c>
      <c r="CT62" s="59">
        <v>1</v>
      </c>
      <c r="CU62" s="59">
        <v>0</v>
      </c>
      <c r="CV62" s="59">
        <v>1</v>
      </c>
      <c r="CW62" s="59">
        <v>0</v>
      </c>
      <c r="CX62" s="59">
        <v>6</v>
      </c>
      <c r="CY62" s="59">
        <v>1</v>
      </c>
      <c r="CZ62" s="59">
        <v>1</v>
      </c>
      <c r="DA62" s="59">
        <v>1</v>
      </c>
      <c r="DB62" s="59">
        <v>1</v>
      </c>
      <c r="DC62" s="59">
        <v>0</v>
      </c>
      <c r="DD62" s="59">
        <v>1</v>
      </c>
      <c r="DE62" s="76">
        <v>1</v>
      </c>
      <c r="DF62" s="76">
        <v>15305.49</v>
      </c>
      <c r="DG62" s="76"/>
      <c r="DH62" s="76">
        <v>855</v>
      </c>
      <c r="DJ62" s="59">
        <v>1417.96</v>
      </c>
      <c r="DK62" s="59">
        <v>425.39</v>
      </c>
      <c r="DL62" s="59">
        <v>0</v>
      </c>
      <c r="DM62" s="59">
        <v>141.8</v>
      </c>
      <c r="DN62" s="59">
        <v>425.39</v>
      </c>
      <c r="DO62" s="59">
        <v>0</v>
      </c>
      <c r="DP62" s="59">
        <v>425.39</v>
      </c>
      <c r="DR62" s="59" t="s">
        <v>35</v>
      </c>
      <c r="GB62" s="59">
        <v>3</v>
      </c>
      <c r="GC62" s="59" t="s">
        <v>36</v>
      </c>
      <c r="GD62" s="59">
        <v>15245</v>
      </c>
      <c r="GE62" s="59" t="s">
        <v>21</v>
      </c>
      <c r="GF62" s="59">
        <v>1</v>
      </c>
      <c r="GG62" s="59" t="s">
        <v>37</v>
      </c>
      <c r="GH62" s="59">
        <v>0</v>
      </c>
      <c r="GI62" s="59">
        <v>1</v>
      </c>
      <c r="GJ62" s="59">
        <v>1</v>
      </c>
      <c r="GK62" s="59">
        <v>1</v>
      </c>
      <c r="GL62" s="59">
        <v>0</v>
      </c>
      <c r="GM62" s="59">
        <v>4</v>
      </c>
      <c r="GN62" s="59">
        <v>1</v>
      </c>
      <c r="GO62" s="59">
        <v>1</v>
      </c>
      <c r="GP62" s="59">
        <v>0</v>
      </c>
      <c r="GQ62" s="59">
        <v>0</v>
      </c>
      <c r="GR62" s="59">
        <v>1</v>
      </c>
      <c r="GS62" s="59">
        <v>1</v>
      </c>
      <c r="GT62" s="76">
        <v>0</v>
      </c>
      <c r="GU62" s="76">
        <v>4753.27</v>
      </c>
      <c r="GV62" s="76"/>
      <c r="GW62" s="76">
        <v>846.73</v>
      </c>
      <c r="GY62" s="59">
        <v>805.84</v>
      </c>
      <c r="GZ62" s="59">
        <v>0</v>
      </c>
      <c r="HA62" s="59">
        <v>0</v>
      </c>
      <c r="HB62" s="59">
        <v>80.58</v>
      </c>
      <c r="HC62" s="59">
        <v>0</v>
      </c>
      <c r="HD62" s="59">
        <v>241.75</v>
      </c>
      <c r="HE62" s="59">
        <v>483.5</v>
      </c>
      <c r="HG62" s="59" t="s">
        <v>26</v>
      </c>
    </row>
    <row r="63" spans="2:92" s="40" customFormat="1" ht="19.5" thickBot="1" thickTop="1">
      <c r="B63" s="88">
        <v>60</v>
      </c>
      <c r="C63" s="29">
        <v>15428</v>
      </c>
      <c r="D63" s="29" t="s">
        <v>24</v>
      </c>
      <c r="E63" s="29">
        <v>1</v>
      </c>
      <c r="F63" s="29" t="s">
        <v>111</v>
      </c>
      <c r="G63" s="17">
        <v>0</v>
      </c>
      <c r="H63" s="30">
        <v>1</v>
      </c>
      <c r="I63" s="30">
        <v>0</v>
      </c>
      <c r="J63" s="30">
        <v>1</v>
      </c>
      <c r="K63" s="17">
        <v>0</v>
      </c>
      <c r="L63" s="17">
        <v>5</v>
      </c>
      <c r="M63" s="30">
        <v>1</v>
      </c>
      <c r="N63" s="30">
        <v>1</v>
      </c>
      <c r="O63" s="30">
        <v>0</v>
      </c>
      <c r="P63" s="30">
        <v>0</v>
      </c>
      <c r="Q63" s="30">
        <v>1</v>
      </c>
      <c r="R63" s="30">
        <v>0</v>
      </c>
      <c r="S63" s="30">
        <v>0</v>
      </c>
      <c r="T63" s="41"/>
      <c r="U63" s="41"/>
      <c r="V63" s="41">
        <f>8625+2500</f>
        <v>11125</v>
      </c>
      <c r="W63" s="41"/>
      <c r="X63" s="41"/>
      <c r="Y63" s="41"/>
      <c r="Z63" s="23">
        <f t="shared" si="7"/>
        <v>2225</v>
      </c>
      <c r="AA63" s="23">
        <f t="shared" si="8"/>
        <v>0</v>
      </c>
      <c r="AB63" s="23">
        <f t="shared" si="9"/>
        <v>0</v>
      </c>
      <c r="AC63" s="23">
        <f t="shared" si="10"/>
        <v>0</v>
      </c>
      <c r="AD63" s="23">
        <f t="shared" si="11"/>
        <v>0</v>
      </c>
      <c r="AE63" s="23">
        <f t="shared" si="12"/>
        <v>0</v>
      </c>
      <c r="AF63" s="23">
        <f t="shared" si="13"/>
        <v>2225</v>
      </c>
      <c r="AG63" s="28" t="s">
        <v>22</v>
      </c>
      <c r="AH63" s="19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</row>
    <row r="64" spans="2:92" s="40" customFormat="1" ht="27.75" thickBot="1" thickTop="1">
      <c r="B64" s="88">
        <v>61</v>
      </c>
      <c r="C64" s="29">
        <v>15346</v>
      </c>
      <c r="D64" s="29" t="s">
        <v>24</v>
      </c>
      <c r="E64" s="29">
        <v>1</v>
      </c>
      <c r="F64" s="29" t="s">
        <v>146</v>
      </c>
      <c r="G64" s="17">
        <v>0</v>
      </c>
      <c r="H64" s="30">
        <v>1</v>
      </c>
      <c r="I64" s="30">
        <v>1</v>
      </c>
      <c r="J64" s="30">
        <v>1</v>
      </c>
      <c r="K64" s="17">
        <v>0</v>
      </c>
      <c r="L64" s="17">
        <v>4</v>
      </c>
      <c r="M64" s="30">
        <v>1</v>
      </c>
      <c r="N64" s="30">
        <v>1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41"/>
      <c r="U64" s="41"/>
      <c r="V64" s="41">
        <f>10460+2500</f>
        <v>12960</v>
      </c>
      <c r="W64" s="41"/>
      <c r="X64" s="41"/>
      <c r="Y64" s="41"/>
      <c r="Z64" s="23">
        <f t="shared" si="7"/>
        <v>3240</v>
      </c>
      <c r="AA64" s="23">
        <f t="shared" si="8"/>
        <v>0</v>
      </c>
      <c r="AB64" s="23">
        <f t="shared" si="9"/>
        <v>0</v>
      </c>
      <c r="AC64" s="23">
        <f t="shared" si="10"/>
        <v>0</v>
      </c>
      <c r="AD64" s="23">
        <f t="shared" si="11"/>
        <v>0</v>
      </c>
      <c r="AE64" s="23">
        <f t="shared" si="12"/>
        <v>972</v>
      </c>
      <c r="AF64" s="23">
        <f t="shared" si="13"/>
        <v>2268</v>
      </c>
      <c r="AG64" s="28" t="s">
        <v>152</v>
      </c>
      <c r="AH64" s="67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</row>
    <row r="65" spans="2:92" s="40" customFormat="1" ht="27.75" thickBot="1" thickTop="1">
      <c r="B65" s="88">
        <v>62</v>
      </c>
      <c r="C65" s="15">
        <v>15312</v>
      </c>
      <c r="D65" s="15" t="s">
        <v>24</v>
      </c>
      <c r="E65" s="15">
        <v>1</v>
      </c>
      <c r="F65" s="15" t="s">
        <v>160</v>
      </c>
      <c r="G65" s="14">
        <v>0</v>
      </c>
      <c r="H65" s="14">
        <v>1</v>
      </c>
      <c r="I65" s="14">
        <v>0</v>
      </c>
      <c r="J65" s="14">
        <v>1</v>
      </c>
      <c r="K65" s="14">
        <v>0</v>
      </c>
      <c r="L65" s="14">
        <v>5</v>
      </c>
      <c r="M65" s="14">
        <v>1</v>
      </c>
      <c r="N65" s="14">
        <v>1</v>
      </c>
      <c r="O65" s="14">
        <v>0</v>
      </c>
      <c r="P65" s="14">
        <v>0</v>
      </c>
      <c r="Q65" s="14">
        <v>1</v>
      </c>
      <c r="R65" s="14">
        <v>0</v>
      </c>
      <c r="S65" s="14">
        <v>0</v>
      </c>
      <c r="T65" s="18"/>
      <c r="U65" s="18">
        <v>334.5</v>
      </c>
      <c r="V65" s="18">
        <f>9000+2500-U65</f>
        <v>11165.5</v>
      </c>
      <c r="W65" s="18"/>
      <c r="X65" s="18"/>
      <c r="Y65" s="18"/>
      <c r="Z65" s="23">
        <f t="shared" si="7"/>
        <v>2289.965</v>
      </c>
      <c r="AA65" s="23">
        <f t="shared" si="8"/>
        <v>0</v>
      </c>
      <c r="AB65" s="23">
        <f t="shared" si="9"/>
        <v>0</v>
      </c>
      <c r="AC65" s="23">
        <f t="shared" si="10"/>
        <v>0</v>
      </c>
      <c r="AD65" s="23">
        <f t="shared" si="11"/>
        <v>0</v>
      </c>
      <c r="AE65" s="23">
        <f t="shared" si="12"/>
        <v>0</v>
      </c>
      <c r="AF65" s="23">
        <f t="shared" si="13"/>
        <v>2289.965</v>
      </c>
      <c r="AG65" s="28" t="s">
        <v>161</v>
      </c>
      <c r="AH65" s="19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</row>
    <row r="66" spans="2:92" s="40" customFormat="1" ht="27.75" thickBot="1" thickTop="1">
      <c r="B66" s="88">
        <v>63</v>
      </c>
      <c r="C66" s="33">
        <v>2491</v>
      </c>
      <c r="D66" s="49" t="s">
        <v>20</v>
      </c>
      <c r="E66" s="33">
        <v>1</v>
      </c>
      <c r="F66" s="33" t="s">
        <v>75</v>
      </c>
      <c r="G66" s="32">
        <v>0</v>
      </c>
      <c r="H66" s="32">
        <v>1</v>
      </c>
      <c r="I66" s="32">
        <v>0</v>
      </c>
      <c r="J66" s="32">
        <v>1</v>
      </c>
      <c r="K66" s="32">
        <v>0</v>
      </c>
      <c r="L66" s="32">
        <v>4</v>
      </c>
      <c r="M66" s="32">
        <v>1</v>
      </c>
      <c r="N66" s="32">
        <v>1</v>
      </c>
      <c r="O66" s="32">
        <v>0</v>
      </c>
      <c r="P66" s="32">
        <v>0</v>
      </c>
      <c r="Q66" s="32">
        <v>1</v>
      </c>
      <c r="R66" s="32">
        <v>0</v>
      </c>
      <c r="S66" s="32">
        <v>0</v>
      </c>
      <c r="T66" s="34">
        <f>6300+6750</f>
        <v>13050</v>
      </c>
      <c r="U66" s="34"/>
      <c r="V66" s="34">
        <f>6300+9500-T66</f>
        <v>2750</v>
      </c>
      <c r="W66" s="34"/>
      <c r="X66" s="34"/>
      <c r="Y66" s="34"/>
      <c r="Z66" s="35">
        <f aca="true" t="shared" si="14" ref="Z66:Z92">((T66*50%+U66*85%+V66)/L66)+W66</f>
        <v>2318.75</v>
      </c>
      <c r="AA66" s="35">
        <f aca="true" t="shared" si="15" ref="AA66:AA92">IF(O66=1,Z66*30%,0)</f>
        <v>0</v>
      </c>
      <c r="AB66" s="35">
        <f aca="true" t="shared" si="16" ref="AB66:AB92">IF(K66=1,Z66*20%,0)</f>
        <v>0</v>
      </c>
      <c r="AC66" s="35">
        <f aca="true" t="shared" si="17" ref="AC66:AC92">IF(R66=1,Z66*10%,0)</f>
        <v>0</v>
      </c>
      <c r="AD66" s="35">
        <f aca="true" t="shared" si="18" ref="AD66:AD92">IF(S66=1,Z66*30%,0)</f>
        <v>0</v>
      </c>
      <c r="AE66" s="35">
        <f aca="true" t="shared" si="19" ref="AE66:AE92">IF(I66=1,Z66*30%,0)</f>
        <v>0</v>
      </c>
      <c r="AF66" s="35">
        <f aca="true" t="shared" si="20" ref="AF66:AF92">Z66-AA66-AB66-AC66-AD66-AE66</f>
        <v>2318.75</v>
      </c>
      <c r="AG66" s="50" t="s">
        <v>76</v>
      </c>
      <c r="AH66" s="51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</row>
    <row r="67" spans="2:92" s="40" customFormat="1" ht="27.75" thickBot="1" thickTop="1">
      <c r="B67" s="88">
        <v>64</v>
      </c>
      <c r="C67" s="15">
        <v>15316</v>
      </c>
      <c r="D67" s="15" t="s">
        <v>24</v>
      </c>
      <c r="E67" s="15">
        <v>1</v>
      </c>
      <c r="F67" s="15" t="s">
        <v>158</v>
      </c>
      <c r="G67" s="14">
        <v>0</v>
      </c>
      <c r="H67" s="14">
        <v>1</v>
      </c>
      <c r="I67" s="14">
        <v>0</v>
      </c>
      <c r="J67" s="14">
        <v>1</v>
      </c>
      <c r="K67" s="14">
        <v>0</v>
      </c>
      <c r="L67" s="14">
        <v>4</v>
      </c>
      <c r="M67" s="14">
        <v>1</v>
      </c>
      <c r="N67" s="14">
        <v>1</v>
      </c>
      <c r="O67" s="14">
        <v>1</v>
      </c>
      <c r="P67" s="14">
        <v>0</v>
      </c>
      <c r="Q67" s="14">
        <v>0</v>
      </c>
      <c r="R67" s="14">
        <v>0</v>
      </c>
      <c r="S67" s="14">
        <v>0</v>
      </c>
      <c r="T67" s="18">
        <v>18225.51</v>
      </c>
      <c r="U67" s="18"/>
      <c r="V67" s="18">
        <f>4500+18225.52-T67</f>
        <v>4500.010000000002</v>
      </c>
      <c r="W67" s="18"/>
      <c r="X67" s="18"/>
      <c r="Y67" s="18"/>
      <c r="Z67" s="23">
        <f t="shared" si="14"/>
        <v>3403.1912500000003</v>
      </c>
      <c r="AA67" s="23">
        <f t="shared" si="15"/>
        <v>1020.9573750000001</v>
      </c>
      <c r="AB67" s="23">
        <f t="shared" si="16"/>
        <v>0</v>
      </c>
      <c r="AC67" s="23">
        <f t="shared" si="17"/>
        <v>0</v>
      </c>
      <c r="AD67" s="23">
        <f t="shared" si="18"/>
        <v>0</v>
      </c>
      <c r="AE67" s="23">
        <f t="shared" si="19"/>
        <v>0</v>
      </c>
      <c r="AF67" s="23">
        <f t="shared" si="20"/>
        <v>2382.2338750000004</v>
      </c>
      <c r="AG67" s="28" t="s">
        <v>159</v>
      </c>
      <c r="AH67" s="19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</row>
    <row r="68" spans="2:92" s="40" customFormat="1" ht="19.5" thickBot="1" thickTop="1">
      <c r="B68" s="88">
        <v>65</v>
      </c>
      <c r="C68" s="29">
        <v>15494</v>
      </c>
      <c r="D68" s="29" t="s">
        <v>21</v>
      </c>
      <c r="E68" s="29">
        <v>1</v>
      </c>
      <c r="F68" s="29" t="s">
        <v>147</v>
      </c>
      <c r="G68" s="30">
        <v>0</v>
      </c>
      <c r="H68" s="30">
        <v>1</v>
      </c>
      <c r="I68" s="30">
        <v>1</v>
      </c>
      <c r="J68" s="30">
        <v>1</v>
      </c>
      <c r="K68" s="14">
        <v>0</v>
      </c>
      <c r="L68" s="14">
        <v>3</v>
      </c>
      <c r="M68" s="14">
        <v>1</v>
      </c>
      <c r="N68" s="30">
        <v>1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18">
        <v>8300.89</v>
      </c>
      <c r="U68" s="18"/>
      <c r="V68" s="18">
        <f>4228+10238.89-T68</f>
        <v>6166</v>
      </c>
      <c r="W68" s="18"/>
      <c r="X68" s="18"/>
      <c r="Y68" s="18"/>
      <c r="Z68" s="23">
        <f t="shared" si="14"/>
        <v>3438.815</v>
      </c>
      <c r="AA68" s="23">
        <f t="shared" si="15"/>
        <v>0</v>
      </c>
      <c r="AB68" s="23">
        <f t="shared" si="16"/>
        <v>0</v>
      </c>
      <c r="AC68" s="23">
        <f t="shared" si="17"/>
        <v>0</v>
      </c>
      <c r="AD68" s="23">
        <f t="shared" si="18"/>
        <v>0</v>
      </c>
      <c r="AE68" s="23">
        <f t="shared" si="19"/>
        <v>1031.6444999999999</v>
      </c>
      <c r="AF68" s="23">
        <f t="shared" si="20"/>
        <v>2407.1705</v>
      </c>
      <c r="AG68" s="28" t="s">
        <v>101</v>
      </c>
      <c r="AH68" s="19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</row>
    <row r="69" spans="2:92" s="40" customFormat="1" ht="19.5" thickBot="1" thickTop="1">
      <c r="B69" s="88">
        <v>66</v>
      </c>
      <c r="C69" s="29">
        <v>15405</v>
      </c>
      <c r="D69" s="61" t="s">
        <v>21</v>
      </c>
      <c r="E69" s="61">
        <v>1</v>
      </c>
      <c r="F69" s="61" t="s">
        <v>82</v>
      </c>
      <c r="G69" s="53">
        <v>0</v>
      </c>
      <c r="H69" s="53">
        <v>1</v>
      </c>
      <c r="I69" s="53">
        <v>0</v>
      </c>
      <c r="J69" s="53">
        <v>1</v>
      </c>
      <c r="K69" s="32">
        <v>0</v>
      </c>
      <c r="L69" s="32">
        <v>3</v>
      </c>
      <c r="M69" s="32">
        <v>1</v>
      </c>
      <c r="N69" s="53">
        <v>1</v>
      </c>
      <c r="O69" s="53">
        <v>1</v>
      </c>
      <c r="P69" s="53">
        <v>0</v>
      </c>
      <c r="Q69" s="53">
        <v>0</v>
      </c>
      <c r="R69" s="53">
        <v>1</v>
      </c>
      <c r="S69" s="53">
        <v>0</v>
      </c>
      <c r="T69" s="34"/>
      <c r="U69" s="34"/>
      <c r="V69" s="34">
        <v>12160</v>
      </c>
      <c r="W69" s="34"/>
      <c r="X69" s="34"/>
      <c r="Y69" s="34"/>
      <c r="Z69" s="35">
        <f t="shared" si="14"/>
        <v>4053.3333333333335</v>
      </c>
      <c r="AA69" s="35">
        <f t="shared" si="15"/>
        <v>1216</v>
      </c>
      <c r="AB69" s="35">
        <f t="shared" si="16"/>
        <v>0</v>
      </c>
      <c r="AC69" s="35">
        <f t="shared" si="17"/>
        <v>405.33333333333337</v>
      </c>
      <c r="AD69" s="35">
        <f t="shared" si="18"/>
        <v>0</v>
      </c>
      <c r="AE69" s="35">
        <f t="shared" si="19"/>
        <v>0</v>
      </c>
      <c r="AF69" s="35">
        <f t="shared" si="20"/>
        <v>2432</v>
      </c>
      <c r="AG69" s="36" t="s">
        <v>85</v>
      </c>
      <c r="AH69" s="55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</row>
    <row r="70" spans="2:92" s="40" customFormat="1" ht="19.5" thickBot="1" thickTop="1">
      <c r="B70" s="88">
        <v>67</v>
      </c>
      <c r="C70" s="29">
        <v>15396</v>
      </c>
      <c r="D70" s="61" t="s">
        <v>24</v>
      </c>
      <c r="E70" s="61">
        <v>1</v>
      </c>
      <c r="F70" s="61" t="s">
        <v>90</v>
      </c>
      <c r="G70" s="53">
        <v>0</v>
      </c>
      <c r="H70" s="53">
        <v>1</v>
      </c>
      <c r="I70" s="53">
        <v>1</v>
      </c>
      <c r="J70" s="53">
        <v>1</v>
      </c>
      <c r="K70" s="32">
        <v>0</v>
      </c>
      <c r="L70" s="32">
        <v>4</v>
      </c>
      <c r="M70" s="32">
        <v>1</v>
      </c>
      <c r="N70" s="53">
        <v>1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34">
        <f>622.14+10714.93</f>
        <v>11337.07</v>
      </c>
      <c r="U70" s="34"/>
      <c r="V70" s="34">
        <f>9345+10714.97-T70</f>
        <v>8722.900000000001</v>
      </c>
      <c r="W70" s="34"/>
      <c r="X70" s="31"/>
      <c r="Y70" s="31"/>
      <c r="Z70" s="35">
        <f t="shared" si="14"/>
        <v>3597.8587500000003</v>
      </c>
      <c r="AA70" s="35">
        <f t="shared" si="15"/>
        <v>0</v>
      </c>
      <c r="AB70" s="35">
        <f t="shared" si="16"/>
        <v>0</v>
      </c>
      <c r="AC70" s="35">
        <f t="shared" si="17"/>
        <v>0</v>
      </c>
      <c r="AD70" s="35">
        <f t="shared" si="18"/>
        <v>0</v>
      </c>
      <c r="AE70" s="35">
        <f t="shared" si="19"/>
        <v>1079.357625</v>
      </c>
      <c r="AF70" s="35">
        <f t="shared" si="20"/>
        <v>2518.5011250000002</v>
      </c>
      <c r="AG70" s="65" t="s">
        <v>91</v>
      </c>
      <c r="AH70" s="51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</row>
    <row r="71" spans="2:92" s="40" customFormat="1" ht="19.5" thickBot="1" thickTop="1">
      <c r="B71" s="88">
        <v>68</v>
      </c>
      <c r="C71" s="29">
        <v>15386</v>
      </c>
      <c r="D71" s="29" t="s">
        <v>24</v>
      </c>
      <c r="E71" s="29">
        <v>1</v>
      </c>
      <c r="F71" s="29" t="s">
        <v>62</v>
      </c>
      <c r="G71" s="30">
        <v>0</v>
      </c>
      <c r="H71" s="30">
        <v>1</v>
      </c>
      <c r="I71" s="30">
        <v>0</v>
      </c>
      <c r="J71" s="30">
        <v>1</v>
      </c>
      <c r="K71" s="14">
        <v>0</v>
      </c>
      <c r="L71" s="14">
        <v>4</v>
      </c>
      <c r="M71" s="14">
        <v>1</v>
      </c>
      <c r="N71" s="30">
        <v>1</v>
      </c>
      <c r="O71" s="30">
        <v>1</v>
      </c>
      <c r="P71" s="30">
        <v>0</v>
      </c>
      <c r="Q71" s="30">
        <v>0</v>
      </c>
      <c r="R71" s="30">
        <v>0</v>
      </c>
      <c r="S71" s="30">
        <v>0</v>
      </c>
      <c r="T71" s="18"/>
      <c r="U71" s="18"/>
      <c r="V71" s="18">
        <f>9500+5020</f>
        <v>14520</v>
      </c>
      <c r="W71" s="18"/>
      <c r="X71" s="31"/>
      <c r="Y71" s="31"/>
      <c r="Z71" s="23">
        <f t="shared" si="14"/>
        <v>3630</v>
      </c>
      <c r="AA71" s="23">
        <f t="shared" si="15"/>
        <v>1089</v>
      </c>
      <c r="AB71" s="23">
        <f t="shared" si="16"/>
        <v>0</v>
      </c>
      <c r="AC71" s="23">
        <f t="shared" si="17"/>
        <v>0</v>
      </c>
      <c r="AD71" s="23">
        <f t="shared" si="18"/>
        <v>0</v>
      </c>
      <c r="AE71" s="23">
        <f t="shared" si="19"/>
        <v>0</v>
      </c>
      <c r="AF71" s="23">
        <f t="shared" si="20"/>
        <v>2541</v>
      </c>
      <c r="AG71" s="48" t="s">
        <v>23</v>
      </c>
      <c r="AH71" s="46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</row>
    <row r="72" spans="2:92" s="40" customFormat="1" ht="27.75" thickBot="1" thickTop="1">
      <c r="B72" s="88">
        <v>69</v>
      </c>
      <c r="C72" s="29">
        <v>15404</v>
      </c>
      <c r="D72" s="29" t="s">
        <v>24</v>
      </c>
      <c r="E72" s="29">
        <v>1</v>
      </c>
      <c r="F72" s="29" t="s">
        <v>164</v>
      </c>
      <c r="G72" s="17">
        <v>0</v>
      </c>
      <c r="H72" s="30">
        <v>1</v>
      </c>
      <c r="I72" s="30">
        <v>0</v>
      </c>
      <c r="J72" s="30">
        <v>1</v>
      </c>
      <c r="K72" s="17">
        <v>1</v>
      </c>
      <c r="L72" s="17">
        <v>4</v>
      </c>
      <c r="M72" s="30">
        <v>1</v>
      </c>
      <c r="N72" s="30">
        <v>1</v>
      </c>
      <c r="O72" s="30">
        <v>1</v>
      </c>
      <c r="P72" s="30">
        <v>1</v>
      </c>
      <c r="Q72" s="30">
        <v>0</v>
      </c>
      <c r="R72" s="30">
        <v>0</v>
      </c>
      <c r="S72" s="30">
        <v>0</v>
      </c>
      <c r="T72" s="41">
        <v>16558.64</v>
      </c>
      <c r="U72" s="41"/>
      <c r="V72" s="41">
        <f>17537.93-T72</f>
        <v>979.2900000000009</v>
      </c>
      <c r="W72" s="41">
        <v>2909.14</v>
      </c>
      <c r="X72" s="41"/>
      <c r="Y72" s="41"/>
      <c r="Z72" s="23">
        <f t="shared" si="14"/>
        <v>5223.7925</v>
      </c>
      <c r="AA72" s="23">
        <f t="shared" si="15"/>
        <v>1567.1377499999999</v>
      </c>
      <c r="AB72" s="23">
        <f t="shared" si="16"/>
        <v>1044.7585</v>
      </c>
      <c r="AC72" s="23">
        <f t="shared" si="17"/>
        <v>0</v>
      </c>
      <c r="AD72" s="23">
        <f t="shared" si="18"/>
        <v>0</v>
      </c>
      <c r="AE72" s="23">
        <f t="shared" si="19"/>
        <v>0</v>
      </c>
      <c r="AF72" s="23">
        <f t="shared" si="20"/>
        <v>2611.89625</v>
      </c>
      <c r="AG72" s="28" t="s">
        <v>165</v>
      </c>
      <c r="AH72" s="19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</row>
    <row r="73" spans="2:92" s="40" customFormat="1" ht="19.5" thickBot="1" thickTop="1">
      <c r="B73" s="88">
        <v>70</v>
      </c>
      <c r="C73" s="29">
        <v>2415</v>
      </c>
      <c r="D73" s="47" t="s">
        <v>20</v>
      </c>
      <c r="E73" s="29">
        <v>1</v>
      </c>
      <c r="F73" s="29" t="s">
        <v>98</v>
      </c>
      <c r="G73" s="17">
        <v>0</v>
      </c>
      <c r="H73" s="30">
        <v>1</v>
      </c>
      <c r="I73" s="30">
        <v>0</v>
      </c>
      <c r="J73" s="30">
        <v>1</v>
      </c>
      <c r="K73" s="17">
        <v>0</v>
      </c>
      <c r="L73" s="17">
        <v>4</v>
      </c>
      <c r="M73" s="30">
        <v>1</v>
      </c>
      <c r="N73" s="30">
        <v>1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41">
        <v>173.15</v>
      </c>
      <c r="U73" s="41"/>
      <c r="V73" s="41">
        <f>10640-T73</f>
        <v>10466.85</v>
      </c>
      <c r="W73" s="41"/>
      <c r="X73" s="43"/>
      <c r="Y73" s="43"/>
      <c r="Z73" s="23">
        <f t="shared" si="14"/>
        <v>2638.3562500000003</v>
      </c>
      <c r="AA73" s="23">
        <f t="shared" si="15"/>
        <v>0</v>
      </c>
      <c r="AB73" s="23">
        <f t="shared" si="16"/>
        <v>0</v>
      </c>
      <c r="AC73" s="23">
        <f t="shared" si="17"/>
        <v>0</v>
      </c>
      <c r="AD73" s="23">
        <f t="shared" si="18"/>
        <v>0</v>
      </c>
      <c r="AE73" s="23">
        <f t="shared" si="19"/>
        <v>0</v>
      </c>
      <c r="AF73" s="23">
        <f t="shared" si="20"/>
        <v>2638.3562500000003</v>
      </c>
      <c r="AG73" s="28" t="s">
        <v>101</v>
      </c>
      <c r="AH73" s="46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</row>
    <row r="74" spans="2:92" s="40" customFormat="1" ht="19.5" thickBot="1" thickTop="1">
      <c r="B74" s="88">
        <v>71</v>
      </c>
      <c r="C74" s="61">
        <v>2472</v>
      </c>
      <c r="D74" s="69" t="s">
        <v>20</v>
      </c>
      <c r="E74" s="61">
        <v>1</v>
      </c>
      <c r="F74" s="61" t="s">
        <v>123</v>
      </c>
      <c r="G74" s="53">
        <v>0</v>
      </c>
      <c r="H74" s="53">
        <v>1</v>
      </c>
      <c r="I74" s="53">
        <v>0</v>
      </c>
      <c r="J74" s="53">
        <v>1</v>
      </c>
      <c r="K74" s="32">
        <v>0</v>
      </c>
      <c r="L74" s="32">
        <v>6</v>
      </c>
      <c r="M74" s="32">
        <v>1</v>
      </c>
      <c r="N74" s="53">
        <v>1</v>
      </c>
      <c r="O74" s="53">
        <v>1</v>
      </c>
      <c r="P74" s="53">
        <v>1</v>
      </c>
      <c r="Q74" s="53">
        <v>0</v>
      </c>
      <c r="R74" s="53">
        <v>0</v>
      </c>
      <c r="S74" s="53">
        <v>0</v>
      </c>
      <c r="T74" s="34">
        <f>4883.5+5919.13</f>
        <v>10802.630000000001</v>
      </c>
      <c r="U74" s="34"/>
      <c r="V74" s="34">
        <f>11460+5923.59</f>
        <v>17383.59</v>
      </c>
      <c r="W74" s="34"/>
      <c r="X74" s="34"/>
      <c r="Y74" s="34"/>
      <c r="Z74" s="35">
        <f t="shared" si="14"/>
        <v>3797.4841666666666</v>
      </c>
      <c r="AA74" s="35">
        <f t="shared" si="15"/>
        <v>1139.24525</v>
      </c>
      <c r="AB74" s="35">
        <f t="shared" si="16"/>
        <v>0</v>
      </c>
      <c r="AC74" s="35">
        <f t="shared" si="17"/>
        <v>0</v>
      </c>
      <c r="AD74" s="35">
        <f t="shared" si="18"/>
        <v>0</v>
      </c>
      <c r="AE74" s="35">
        <f t="shared" si="19"/>
        <v>0</v>
      </c>
      <c r="AF74" s="35">
        <f t="shared" si="20"/>
        <v>2658.2389166666667</v>
      </c>
      <c r="AG74" s="50" t="s">
        <v>124</v>
      </c>
      <c r="AH74" s="51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</row>
    <row r="75" spans="2:92" s="40" customFormat="1" ht="19.5" thickBot="1" thickTop="1">
      <c r="B75" s="88">
        <v>72</v>
      </c>
      <c r="C75" s="33">
        <v>15389</v>
      </c>
      <c r="D75" s="33" t="s">
        <v>24</v>
      </c>
      <c r="E75" s="33">
        <v>1</v>
      </c>
      <c r="F75" s="33" t="s">
        <v>42</v>
      </c>
      <c r="G75" s="32">
        <v>0</v>
      </c>
      <c r="H75" s="32">
        <v>1</v>
      </c>
      <c r="I75" s="32">
        <v>0</v>
      </c>
      <c r="J75" s="32">
        <v>1</v>
      </c>
      <c r="K75" s="32">
        <v>0</v>
      </c>
      <c r="L75" s="32">
        <v>4</v>
      </c>
      <c r="M75" s="32">
        <v>1</v>
      </c>
      <c r="N75" s="32">
        <v>1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4"/>
      <c r="U75" s="34"/>
      <c r="V75" s="34">
        <f>8470.33+2500</f>
        <v>10970.33</v>
      </c>
      <c r="W75" s="34"/>
      <c r="X75" s="31"/>
      <c r="Y75" s="31"/>
      <c r="Z75" s="35">
        <f t="shared" si="14"/>
        <v>2742.5825</v>
      </c>
      <c r="AA75" s="35">
        <f t="shared" si="15"/>
        <v>0</v>
      </c>
      <c r="AB75" s="35">
        <f t="shared" si="16"/>
        <v>0</v>
      </c>
      <c r="AC75" s="35">
        <f t="shared" si="17"/>
        <v>0</v>
      </c>
      <c r="AD75" s="35">
        <f t="shared" si="18"/>
        <v>0</v>
      </c>
      <c r="AE75" s="35">
        <f t="shared" si="19"/>
        <v>0</v>
      </c>
      <c r="AF75" s="35">
        <f t="shared" si="20"/>
        <v>2742.5825</v>
      </c>
      <c r="AG75" s="36" t="s">
        <v>43</v>
      </c>
      <c r="AH75" s="36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</row>
    <row r="76" spans="2:92" s="40" customFormat="1" ht="19.5" thickBot="1" thickTop="1">
      <c r="B76" s="88">
        <v>73</v>
      </c>
      <c r="C76" s="29">
        <v>15328</v>
      </c>
      <c r="D76" s="29" t="s">
        <v>24</v>
      </c>
      <c r="E76" s="29">
        <v>1</v>
      </c>
      <c r="F76" s="29" t="s">
        <v>87</v>
      </c>
      <c r="G76" s="17">
        <v>0</v>
      </c>
      <c r="H76" s="30">
        <v>1</v>
      </c>
      <c r="I76" s="30">
        <v>0</v>
      </c>
      <c r="J76" s="30">
        <v>1</v>
      </c>
      <c r="K76" s="17">
        <v>0</v>
      </c>
      <c r="L76" s="17">
        <v>6</v>
      </c>
      <c r="M76" s="30">
        <v>1</v>
      </c>
      <c r="N76" s="30">
        <v>1</v>
      </c>
      <c r="O76" s="30">
        <v>0</v>
      </c>
      <c r="P76" s="30">
        <v>1</v>
      </c>
      <c r="Q76" s="30">
        <v>0</v>
      </c>
      <c r="R76" s="30">
        <v>0</v>
      </c>
      <c r="S76" s="30">
        <v>0</v>
      </c>
      <c r="T76" s="41">
        <f>15967.35+17360.81</f>
        <v>33328.16</v>
      </c>
      <c r="U76" s="41"/>
      <c r="V76" s="41">
        <f>16024.55+17418.01-T76</f>
        <v>114.39999999999418</v>
      </c>
      <c r="W76" s="41"/>
      <c r="X76" s="43"/>
      <c r="Y76" s="43"/>
      <c r="Z76" s="23">
        <f t="shared" si="14"/>
        <v>2796.4133333333325</v>
      </c>
      <c r="AA76" s="23">
        <f t="shared" si="15"/>
        <v>0</v>
      </c>
      <c r="AB76" s="23">
        <f t="shared" si="16"/>
        <v>0</v>
      </c>
      <c r="AC76" s="23">
        <f t="shared" si="17"/>
        <v>0</v>
      </c>
      <c r="AD76" s="23">
        <f t="shared" si="18"/>
        <v>0</v>
      </c>
      <c r="AE76" s="23">
        <f t="shared" si="19"/>
        <v>0</v>
      </c>
      <c r="AF76" s="23">
        <f t="shared" si="20"/>
        <v>2796.4133333333325</v>
      </c>
      <c r="AG76" s="28" t="s">
        <v>23</v>
      </c>
      <c r="AH76" s="62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</row>
    <row r="77" spans="2:92" s="40" customFormat="1" ht="27.75" thickBot="1" thickTop="1">
      <c r="B77" s="88">
        <v>74</v>
      </c>
      <c r="C77" s="15">
        <v>15509</v>
      </c>
      <c r="D77" s="15" t="s">
        <v>21</v>
      </c>
      <c r="E77" s="15">
        <v>1</v>
      </c>
      <c r="F77" s="15" t="s">
        <v>185</v>
      </c>
      <c r="G77" s="75">
        <v>0</v>
      </c>
      <c r="H77" s="75">
        <v>1</v>
      </c>
      <c r="I77" s="75">
        <v>0</v>
      </c>
      <c r="J77" s="75">
        <v>1</v>
      </c>
      <c r="K77" s="75">
        <v>0</v>
      </c>
      <c r="L77" s="75">
        <v>5</v>
      </c>
      <c r="M77" s="75">
        <v>1</v>
      </c>
      <c r="N77" s="75">
        <v>1</v>
      </c>
      <c r="O77" s="75">
        <v>1</v>
      </c>
      <c r="P77" s="75">
        <v>0</v>
      </c>
      <c r="Q77" s="75">
        <v>1</v>
      </c>
      <c r="R77" s="75">
        <v>0</v>
      </c>
      <c r="S77" s="75">
        <v>0</v>
      </c>
      <c r="T77" s="18">
        <f>11233.53+11771.04</f>
        <v>23004.57</v>
      </c>
      <c r="U77" s="18"/>
      <c r="V77" s="18">
        <f>20052+11771.04-T77</f>
        <v>8818.470000000001</v>
      </c>
      <c r="W77" s="18"/>
      <c r="X77" s="31"/>
      <c r="Y77" s="31"/>
      <c r="Z77" s="23">
        <f t="shared" si="14"/>
        <v>4064.1510000000003</v>
      </c>
      <c r="AA77" s="23">
        <f t="shared" si="15"/>
        <v>1219.2453</v>
      </c>
      <c r="AB77" s="23">
        <f t="shared" si="16"/>
        <v>0</v>
      </c>
      <c r="AC77" s="23">
        <f t="shared" si="17"/>
        <v>0</v>
      </c>
      <c r="AD77" s="23">
        <f t="shared" si="18"/>
        <v>0</v>
      </c>
      <c r="AE77" s="23">
        <f t="shared" si="19"/>
        <v>0</v>
      </c>
      <c r="AF77" s="23">
        <f t="shared" si="20"/>
        <v>2844.9057000000003</v>
      </c>
      <c r="AG77" s="28" t="s">
        <v>186</v>
      </c>
      <c r="AH77" s="19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</row>
    <row r="78" spans="2:92" s="40" customFormat="1" ht="19.5" thickBot="1" thickTop="1">
      <c r="B78" s="88">
        <v>75</v>
      </c>
      <c r="C78" s="15">
        <v>15434</v>
      </c>
      <c r="D78" s="15" t="s">
        <v>21</v>
      </c>
      <c r="E78" s="15">
        <v>1</v>
      </c>
      <c r="F78" s="15" t="s">
        <v>70</v>
      </c>
      <c r="G78" s="14">
        <v>0</v>
      </c>
      <c r="H78" s="14">
        <v>1</v>
      </c>
      <c r="I78" s="14">
        <v>0</v>
      </c>
      <c r="J78" s="14">
        <v>1</v>
      </c>
      <c r="K78" s="14">
        <v>0</v>
      </c>
      <c r="L78" s="14">
        <v>4</v>
      </c>
      <c r="M78" s="14">
        <v>1</v>
      </c>
      <c r="N78" s="14">
        <v>1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8">
        <f>9650.36+13158.32</f>
        <v>22808.68</v>
      </c>
      <c r="U78" s="18"/>
      <c r="V78" s="18">
        <f>9650.56+13159.55-T78</f>
        <v>1.430000000000291</v>
      </c>
      <c r="W78" s="18"/>
      <c r="X78" s="18"/>
      <c r="Y78" s="18"/>
      <c r="Z78" s="23">
        <f t="shared" si="14"/>
        <v>2851.4425</v>
      </c>
      <c r="AA78" s="23">
        <f t="shared" si="15"/>
        <v>0</v>
      </c>
      <c r="AB78" s="23">
        <f t="shared" si="16"/>
        <v>0</v>
      </c>
      <c r="AC78" s="23">
        <f t="shared" si="17"/>
        <v>0</v>
      </c>
      <c r="AD78" s="23">
        <f t="shared" si="18"/>
        <v>0</v>
      </c>
      <c r="AE78" s="23">
        <f t="shared" si="19"/>
        <v>0</v>
      </c>
      <c r="AF78" s="23">
        <f t="shared" si="20"/>
        <v>2851.4425</v>
      </c>
      <c r="AG78" s="48" t="s">
        <v>69</v>
      </c>
      <c r="AH78" s="46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</row>
    <row r="79" spans="2:92" s="40" customFormat="1" ht="27.75" thickBot="1" thickTop="1">
      <c r="B79" s="88">
        <v>76</v>
      </c>
      <c r="C79" s="29">
        <v>2498</v>
      </c>
      <c r="D79" s="47" t="s">
        <v>20</v>
      </c>
      <c r="E79" s="29">
        <v>1</v>
      </c>
      <c r="F79" s="29" t="s">
        <v>189</v>
      </c>
      <c r="G79" s="30">
        <v>0</v>
      </c>
      <c r="H79" s="30">
        <v>1</v>
      </c>
      <c r="I79" s="15">
        <v>1</v>
      </c>
      <c r="J79" s="30">
        <v>1</v>
      </c>
      <c r="K79" s="14">
        <v>0</v>
      </c>
      <c r="L79" s="14">
        <v>5</v>
      </c>
      <c r="M79" s="14">
        <v>1</v>
      </c>
      <c r="N79" s="30">
        <v>1</v>
      </c>
      <c r="O79" s="64">
        <v>0</v>
      </c>
      <c r="P79" s="30">
        <v>0</v>
      </c>
      <c r="Q79" s="30">
        <v>1</v>
      </c>
      <c r="R79" s="30">
        <v>0</v>
      </c>
      <c r="S79" s="17">
        <v>0</v>
      </c>
      <c r="T79" s="18"/>
      <c r="U79" s="18"/>
      <c r="V79" s="18">
        <f>10710+10710</f>
        <v>21420</v>
      </c>
      <c r="W79" s="18"/>
      <c r="X79" s="18"/>
      <c r="Y79" s="18"/>
      <c r="Z79" s="23">
        <f t="shared" si="14"/>
        <v>4284</v>
      </c>
      <c r="AA79" s="23">
        <f t="shared" si="15"/>
        <v>0</v>
      </c>
      <c r="AB79" s="23">
        <f t="shared" si="16"/>
        <v>0</v>
      </c>
      <c r="AC79" s="23">
        <f t="shared" si="17"/>
        <v>0</v>
      </c>
      <c r="AD79" s="23">
        <f t="shared" si="18"/>
        <v>0</v>
      </c>
      <c r="AE79" s="23">
        <f t="shared" si="19"/>
        <v>1285.2</v>
      </c>
      <c r="AF79" s="23">
        <f t="shared" si="20"/>
        <v>2998.8</v>
      </c>
      <c r="AG79" s="28" t="s">
        <v>190</v>
      </c>
      <c r="AH79" s="19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</row>
    <row r="80" spans="2:92" s="40" customFormat="1" ht="19.5" thickBot="1" thickTop="1">
      <c r="B80" s="88">
        <v>77</v>
      </c>
      <c r="C80" s="15">
        <v>15466</v>
      </c>
      <c r="D80" s="15" t="s">
        <v>21</v>
      </c>
      <c r="E80" s="15">
        <v>1</v>
      </c>
      <c r="F80" s="15" t="s">
        <v>63</v>
      </c>
      <c r="G80" s="14">
        <v>0</v>
      </c>
      <c r="H80" s="14">
        <v>1</v>
      </c>
      <c r="I80" s="14">
        <v>0</v>
      </c>
      <c r="J80" s="14">
        <v>1</v>
      </c>
      <c r="K80" s="14">
        <v>0</v>
      </c>
      <c r="L80" s="14">
        <v>5</v>
      </c>
      <c r="M80" s="14">
        <v>1</v>
      </c>
      <c r="N80" s="14">
        <v>1</v>
      </c>
      <c r="O80" s="14">
        <v>0</v>
      </c>
      <c r="P80" s="14">
        <v>0</v>
      </c>
      <c r="Q80" s="14">
        <v>1</v>
      </c>
      <c r="R80" s="14">
        <v>0</v>
      </c>
      <c r="S80" s="14">
        <v>0</v>
      </c>
      <c r="T80" s="18"/>
      <c r="U80" s="18"/>
      <c r="V80" s="18">
        <f>12550+2500</f>
        <v>15050</v>
      </c>
      <c r="W80" s="18"/>
      <c r="X80" s="31"/>
      <c r="Y80" s="31"/>
      <c r="Z80" s="23">
        <f t="shared" si="14"/>
        <v>3010</v>
      </c>
      <c r="AA80" s="23">
        <f t="shared" si="15"/>
        <v>0</v>
      </c>
      <c r="AB80" s="23">
        <f t="shared" si="16"/>
        <v>0</v>
      </c>
      <c r="AC80" s="23">
        <f t="shared" si="17"/>
        <v>0</v>
      </c>
      <c r="AD80" s="23">
        <f t="shared" si="18"/>
        <v>0</v>
      </c>
      <c r="AE80" s="23">
        <f t="shared" si="19"/>
        <v>0</v>
      </c>
      <c r="AF80" s="23">
        <f t="shared" si="20"/>
        <v>3010</v>
      </c>
      <c r="AG80" s="28" t="s">
        <v>64</v>
      </c>
      <c r="AH80" s="19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</row>
    <row r="81" spans="2:92" s="40" customFormat="1" ht="19.5" thickBot="1" thickTop="1">
      <c r="B81" s="88">
        <v>78</v>
      </c>
      <c r="C81" s="29">
        <v>2428</v>
      </c>
      <c r="D81" s="47" t="s">
        <v>20</v>
      </c>
      <c r="E81" s="29">
        <v>1</v>
      </c>
      <c r="F81" s="29" t="s">
        <v>166</v>
      </c>
      <c r="G81" s="17">
        <v>0</v>
      </c>
      <c r="H81" s="30">
        <v>1</v>
      </c>
      <c r="I81" s="30">
        <v>0</v>
      </c>
      <c r="J81" s="30">
        <v>1</v>
      </c>
      <c r="K81" s="17">
        <v>0</v>
      </c>
      <c r="L81" s="17">
        <v>4</v>
      </c>
      <c r="M81" s="30">
        <v>1</v>
      </c>
      <c r="N81" s="30">
        <v>1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41"/>
      <c r="U81" s="41">
        <v>2493.07</v>
      </c>
      <c r="V81" s="41">
        <f>6680+6180-U81</f>
        <v>10366.93</v>
      </c>
      <c r="W81" s="41"/>
      <c r="X81" s="41"/>
      <c r="Y81" s="41"/>
      <c r="Z81" s="23">
        <f t="shared" si="14"/>
        <v>3121.509875</v>
      </c>
      <c r="AA81" s="23">
        <f t="shared" si="15"/>
        <v>0</v>
      </c>
      <c r="AB81" s="23">
        <f t="shared" si="16"/>
        <v>0</v>
      </c>
      <c r="AC81" s="23">
        <f t="shared" si="17"/>
        <v>0</v>
      </c>
      <c r="AD81" s="23">
        <f t="shared" si="18"/>
        <v>0</v>
      </c>
      <c r="AE81" s="23">
        <f t="shared" si="19"/>
        <v>0</v>
      </c>
      <c r="AF81" s="23">
        <f t="shared" si="20"/>
        <v>3121.509875</v>
      </c>
      <c r="AG81" s="71" t="s">
        <v>167</v>
      </c>
      <c r="AH81" s="72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</row>
    <row r="82" spans="2:92" s="40" customFormat="1" ht="19.5" thickBot="1" thickTop="1">
      <c r="B82" s="88">
        <v>79</v>
      </c>
      <c r="C82" s="29">
        <v>15471</v>
      </c>
      <c r="D82" s="29" t="s">
        <v>24</v>
      </c>
      <c r="E82" s="29">
        <v>1</v>
      </c>
      <c r="F82" s="29" t="s">
        <v>105</v>
      </c>
      <c r="G82" s="30">
        <v>0</v>
      </c>
      <c r="H82" s="64">
        <v>1</v>
      </c>
      <c r="I82" s="64">
        <v>0</v>
      </c>
      <c r="J82" s="64">
        <v>1</v>
      </c>
      <c r="K82" s="14">
        <v>0</v>
      </c>
      <c r="L82" s="14">
        <v>5</v>
      </c>
      <c r="M82" s="14">
        <v>1</v>
      </c>
      <c r="N82" s="64">
        <v>1</v>
      </c>
      <c r="O82" s="30">
        <v>1</v>
      </c>
      <c r="P82" s="30">
        <v>0</v>
      </c>
      <c r="Q82" s="30">
        <v>1</v>
      </c>
      <c r="R82" s="30">
        <v>0</v>
      </c>
      <c r="S82" s="30">
        <v>0</v>
      </c>
      <c r="T82" s="18">
        <v>17745.54</v>
      </c>
      <c r="U82" s="18"/>
      <c r="V82" s="18">
        <f>22009.44+9755-T82</f>
        <v>14018.899999999998</v>
      </c>
      <c r="W82" s="18"/>
      <c r="X82" s="31"/>
      <c r="Y82" s="31"/>
      <c r="Z82" s="23">
        <f t="shared" si="14"/>
        <v>4578.334</v>
      </c>
      <c r="AA82" s="23">
        <f t="shared" si="15"/>
        <v>1373.5002</v>
      </c>
      <c r="AB82" s="23">
        <f t="shared" si="16"/>
        <v>0</v>
      </c>
      <c r="AC82" s="23">
        <f t="shared" si="17"/>
        <v>0</v>
      </c>
      <c r="AD82" s="23">
        <f t="shared" si="18"/>
        <v>0</v>
      </c>
      <c r="AE82" s="23">
        <f t="shared" si="19"/>
        <v>0</v>
      </c>
      <c r="AF82" s="23">
        <f t="shared" si="20"/>
        <v>3204.8338</v>
      </c>
      <c r="AG82" s="28" t="s">
        <v>106</v>
      </c>
      <c r="AH82" s="67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</row>
    <row r="83" spans="2:92" s="40" customFormat="1" ht="27.75" thickBot="1" thickTop="1">
      <c r="B83" s="88">
        <v>80</v>
      </c>
      <c r="C83" s="29">
        <v>15301</v>
      </c>
      <c r="D83" s="29" t="s">
        <v>24</v>
      </c>
      <c r="E83" s="29">
        <v>1</v>
      </c>
      <c r="F83" s="29" t="s">
        <v>73</v>
      </c>
      <c r="G83" s="17">
        <v>0</v>
      </c>
      <c r="H83" s="30">
        <v>1</v>
      </c>
      <c r="I83" s="30">
        <v>0</v>
      </c>
      <c r="J83" s="30">
        <v>1</v>
      </c>
      <c r="K83" s="17">
        <v>0</v>
      </c>
      <c r="L83" s="17">
        <v>5</v>
      </c>
      <c r="M83" s="30">
        <v>1</v>
      </c>
      <c r="N83" s="30">
        <v>1</v>
      </c>
      <c r="O83" s="30">
        <v>1</v>
      </c>
      <c r="P83" s="30">
        <v>1</v>
      </c>
      <c r="Q83" s="30">
        <v>0</v>
      </c>
      <c r="R83" s="30">
        <v>0</v>
      </c>
      <c r="S83" s="30">
        <v>0</v>
      </c>
      <c r="T83" s="41">
        <v>10944.12</v>
      </c>
      <c r="U83" s="41"/>
      <c r="V83" s="41">
        <f>10310+18526.03-T83</f>
        <v>17891.909999999996</v>
      </c>
      <c r="W83" s="41"/>
      <c r="X83" s="41"/>
      <c r="Y83" s="41"/>
      <c r="Z83" s="23">
        <f t="shared" si="14"/>
        <v>4672.794</v>
      </c>
      <c r="AA83" s="23">
        <f t="shared" si="15"/>
        <v>1401.8382</v>
      </c>
      <c r="AB83" s="23">
        <f t="shared" si="16"/>
        <v>0</v>
      </c>
      <c r="AC83" s="23">
        <f t="shared" si="17"/>
        <v>0</v>
      </c>
      <c r="AD83" s="23">
        <f t="shared" si="18"/>
        <v>0</v>
      </c>
      <c r="AE83" s="23">
        <f t="shared" si="19"/>
        <v>0</v>
      </c>
      <c r="AF83" s="23">
        <f t="shared" si="20"/>
        <v>3270.9557999999997</v>
      </c>
      <c r="AG83" s="28" t="s">
        <v>74</v>
      </c>
      <c r="AH83" s="46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</row>
    <row r="84" spans="1:92" ht="22.5" customHeight="1" thickBot="1" thickTop="1">
      <c r="A84" s="16">
        <v>221</v>
      </c>
      <c r="B84" s="88">
        <v>81</v>
      </c>
      <c r="C84" s="29">
        <v>2467</v>
      </c>
      <c r="D84" s="47" t="s">
        <v>20</v>
      </c>
      <c r="E84" s="29">
        <v>1</v>
      </c>
      <c r="F84" s="29" t="s">
        <v>109</v>
      </c>
      <c r="G84" s="17">
        <v>0</v>
      </c>
      <c r="H84" s="30">
        <v>1</v>
      </c>
      <c r="I84" s="30">
        <v>0</v>
      </c>
      <c r="J84" s="30">
        <v>1</v>
      </c>
      <c r="K84" s="17">
        <v>1</v>
      </c>
      <c r="L84" s="17">
        <v>3</v>
      </c>
      <c r="M84" s="30">
        <v>1</v>
      </c>
      <c r="N84" s="30">
        <v>1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41">
        <v>1334.64</v>
      </c>
      <c r="U84" s="41"/>
      <c r="V84" s="41">
        <f>13495.15-T84</f>
        <v>12160.51</v>
      </c>
      <c r="W84" s="41"/>
      <c r="X84" s="41"/>
      <c r="Y84" s="41"/>
      <c r="Z84" s="23">
        <f t="shared" si="14"/>
        <v>4275.943333333334</v>
      </c>
      <c r="AA84" s="23">
        <f t="shared" si="15"/>
        <v>0</v>
      </c>
      <c r="AB84" s="23">
        <f t="shared" si="16"/>
        <v>855.1886666666668</v>
      </c>
      <c r="AC84" s="23">
        <f t="shared" si="17"/>
        <v>0</v>
      </c>
      <c r="AD84" s="23">
        <f t="shared" si="18"/>
        <v>0</v>
      </c>
      <c r="AE84" s="23">
        <f t="shared" si="19"/>
        <v>0</v>
      </c>
      <c r="AF84" s="23">
        <f t="shared" si="20"/>
        <v>3420.7546666666667</v>
      </c>
      <c r="AG84" s="48" t="s">
        <v>110</v>
      </c>
      <c r="AH84" s="46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 ht="22.5" customHeight="1" thickBot="1" thickTop="1">
      <c r="A85" s="16"/>
      <c r="B85" s="88">
        <v>82</v>
      </c>
      <c r="C85" s="15">
        <v>2426</v>
      </c>
      <c r="D85" s="39" t="s">
        <v>20</v>
      </c>
      <c r="E85" s="15">
        <v>1</v>
      </c>
      <c r="F85" s="15" t="s">
        <v>178</v>
      </c>
      <c r="G85" s="17">
        <v>0</v>
      </c>
      <c r="H85" s="17">
        <v>1</v>
      </c>
      <c r="I85" s="17">
        <v>0</v>
      </c>
      <c r="J85" s="17">
        <v>1</v>
      </c>
      <c r="K85" s="14">
        <v>1</v>
      </c>
      <c r="L85" s="14">
        <v>3</v>
      </c>
      <c r="M85" s="14">
        <v>1</v>
      </c>
      <c r="N85" s="17">
        <v>1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8">
        <v>15384.76</v>
      </c>
      <c r="U85" s="18"/>
      <c r="V85" s="18"/>
      <c r="W85" s="18">
        <v>1860.61</v>
      </c>
      <c r="X85" s="31"/>
      <c r="Y85" s="31"/>
      <c r="Z85" s="23">
        <f t="shared" si="14"/>
        <v>4424.736666666667</v>
      </c>
      <c r="AA85" s="23">
        <f t="shared" si="15"/>
        <v>0</v>
      </c>
      <c r="AB85" s="23">
        <f t="shared" si="16"/>
        <v>884.9473333333334</v>
      </c>
      <c r="AC85" s="23">
        <f t="shared" si="17"/>
        <v>0</v>
      </c>
      <c r="AD85" s="23">
        <f t="shared" si="18"/>
        <v>0</v>
      </c>
      <c r="AE85" s="23">
        <f t="shared" si="19"/>
        <v>0</v>
      </c>
      <c r="AF85" s="23">
        <f t="shared" si="20"/>
        <v>3539.789333333333</v>
      </c>
      <c r="AG85" s="48" t="s">
        <v>26</v>
      </c>
      <c r="AH85" s="46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 ht="19.5" thickBot="1" thickTop="1">
      <c r="A86" s="16">
        <v>29</v>
      </c>
      <c r="B86" s="88">
        <v>83</v>
      </c>
      <c r="C86" s="29">
        <v>2437</v>
      </c>
      <c r="D86" s="47" t="s">
        <v>20</v>
      </c>
      <c r="E86" s="29">
        <v>1</v>
      </c>
      <c r="F86" s="29" t="s">
        <v>125</v>
      </c>
      <c r="G86" s="17">
        <v>0</v>
      </c>
      <c r="H86" s="30">
        <v>1</v>
      </c>
      <c r="I86" s="30">
        <v>0</v>
      </c>
      <c r="J86" s="30">
        <v>1</v>
      </c>
      <c r="K86" s="17">
        <v>0</v>
      </c>
      <c r="L86" s="17">
        <v>3</v>
      </c>
      <c r="M86" s="30">
        <v>1</v>
      </c>
      <c r="N86" s="30">
        <v>1</v>
      </c>
      <c r="O86" s="30">
        <v>0</v>
      </c>
      <c r="P86" s="30">
        <v>0</v>
      </c>
      <c r="Q86" s="30">
        <v>1</v>
      </c>
      <c r="R86" s="30">
        <v>0</v>
      </c>
      <c r="S86" s="30">
        <v>0</v>
      </c>
      <c r="T86" s="41">
        <v>359.57</v>
      </c>
      <c r="U86" s="41"/>
      <c r="V86" s="41">
        <f>5355.9+5524-T86</f>
        <v>10520.33</v>
      </c>
      <c r="W86" s="41"/>
      <c r="X86" s="41"/>
      <c r="Y86" s="41"/>
      <c r="Z86" s="23">
        <f t="shared" si="14"/>
        <v>3566.705</v>
      </c>
      <c r="AA86" s="23">
        <f t="shared" si="15"/>
        <v>0</v>
      </c>
      <c r="AB86" s="23">
        <f t="shared" si="16"/>
        <v>0</v>
      </c>
      <c r="AC86" s="23">
        <f t="shared" si="17"/>
        <v>0</v>
      </c>
      <c r="AD86" s="23">
        <f t="shared" si="18"/>
        <v>0</v>
      </c>
      <c r="AE86" s="23">
        <f t="shared" si="19"/>
        <v>0</v>
      </c>
      <c r="AF86" s="23">
        <f t="shared" si="20"/>
        <v>3566.705</v>
      </c>
      <c r="AG86" s="28" t="s">
        <v>126</v>
      </c>
      <c r="AH86" s="67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22.5" customHeight="1" thickBot="1" thickTop="1">
      <c r="A87" s="16"/>
      <c r="B87" s="88">
        <v>84</v>
      </c>
      <c r="C87" s="15">
        <v>15417</v>
      </c>
      <c r="D87" s="15" t="s">
        <v>24</v>
      </c>
      <c r="E87" s="15">
        <v>1</v>
      </c>
      <c r="F87" s="15" t="s">
        <v>132</v>
      </c>
      <c r="G87" s="14">
        <v>0</v>
      </c>
      <c r="H87" s="14">
        <v>1</v>
      </c>
      <c r="I87" s="14">
        <v>1</v>
      </c>
      <c r="J87" s="14">
        <v>1</v>
      </c>
      <c r="K87" s="14">
        <v>0</v>
      </c>
      <c r="L87" s="14">
        <v>3</v>
      </c>
      <c r="M87" s="14">
        <v>1</v>
      </c>
      <c r="N87" s="14">
        <v>1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8">
        <v>4801.55</v>
      </c>
      <c r="U87" s="18"/>
      <c r="V87" s="18">
        <f>13092.48+4801.56-T87</f>
        <v>13092.490000000002</v>
      </c>
      <c r="W87" s="18"/>
      <c r="X87" s="18"/>
      <c r="Y87" s="18"/>
      <c r="Z87" s="23">
        <f t="shared" si="14"/>
        <v>5164.421666666667</v>
      </c>
      <c r="AA87" s="23">
        <f t="shared" si="15"/>
        <v>0</v>
      </c>
      <c r="AB87" s="23">
        <f t="shared" si="16"/>
        <v>0</v>
      </c>
      <c r="AC87" s="23">
        <f t="shared" si="17"/>
        <v>0</v>
      </c>
      <c r="AD87" s="23">
        <f t="shared" si="18"/>
        <v>0</v>
      </c>
      <c r="AE87" s="23">
        <f t="shared" si="19"/>
        <v>1549.3265000000001</v>
      </c>
      <c r="AF87" s="23">
        <f t="shared" si="20"/>
        <v>3615.095166666667</v>
      </c>
      <c r="AG87" s="71" t="s">
        <v>101</v>
      </c>
      <c r="AH87" s="72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25.5" customHeight="1" thickBot="1" thickTop="1">
      <c r="A88" s="16">
        <v>217</v>
      </c>
      <c r="B88" s="88">
        <v>85</v>
      </c>
      <c r="C88" s="29">
        <v>15495</v>
      </c>
      <c r="D88" s="29" t="s">
        <v>21</v>
      </c>
      <c r="E88" s="29">
        <v>1</v>
      </c>
      <c r="F88" s="29" t="s">
        <v>88</v>
      </c>
      <c r="G88" s="30">
        <v>0</v>
      </c>
      <c r="H88" s="30">
        <v>1</v>
      </c>
      <c r="I88" s="30">
        <v>0</v>
      </c>
      <c r="J88" s="30">
        <v>1</v>
      </c>
      <c r="K88" s="14">
        <v>0</v>
      </c>
      <c r="L88" s="14">
        <v>4</v>
      </c>
      <c r="M88" s="14">
        <v>1</v>
      </c>
      <c r="N88" s="30">
        <v>1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18"/>
      <c r="U88" s="18"/>
      <c r="V88" s="18">
        <f>12001.07+2500</f>
        <v>14501.07</v>
      </c>
      <c r="W88" s="18"/>
      <c r="X88" s="18"/>
      <c r="Y88" s="18"/>
      <c r="Z88" s="23">
        <f t="shared" si="14"/>
        <v>3625.2675</v>
      </c>
      <c r="AA88" s="23">
        <f t="shared" si="15"/>
        <v>0</v>
      </c>
      <c r="AB88" s="23">
        <f t="shared" si="16"/>
        <v>0</v>
      </c>
      <c r="AC88" s="23">
        <f t="shared" si="17"/>
        <v>0</v>
      </c>
      <c r="AD88" s="23">
        <f t="shared" si="18"/>
        <v>0</v>
      </c>
      <c r="AE88" s="23">
        <f t="shared" si="19"/>
        <v>0</v>
      </c>
      <c r="AF88" s="23">
        <f t="shared" si="20"/>
        <v>3625.2675</v>
      </c>
      <c r="AG88" s="63" t="s">
        <v>89</v>
      </c>
      <c r="AH88" s="64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22.5" customHeight="1" thickBot="1" thickTop="1">
      <c r="A89" s="16">
        <v>81</v>
      </c>
      <c r="B89" s="88">
        <v>86</v>
      </c>
      <c r="C89" s="29">
        <v>15444</v>
      </c>
      <c r="D89" s="29" t="s">
        <v>24</v>
      </c>
      <c r="E89" s="29">
        <v>1</v>
      </c>
      <c r="F89" s="29" t="s">
        <v>117</v>
      </c>
      <c r="G89" s="17">
        <v>0</v>
      </c>
      <c r="H89" s="30">
        <v>1</v>
      </c>
      <c r="I89" s="30">
        <v>0</v>
      </c>
      <c r="J89" s="30">
        <v>1</v>
      </c>
      <c r="K89" s="17">
        <v>0</v>
      </c>
      <c r="L89" s="17">
        <v>4</v>
      </c>
      <c r="M89" s="30">
        <v>1</v>
      </c>
      <c r="N89" s="30">
        <v>1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41">
        <v>12737.6</v>
      </c>
      <c r="U89" s="41"/>
      <c r="V89" s="41">
        <f>8140+12738.2-T89</f>
        <v>8140.6</v>
      </c>
      <c r="W89" s="41"/>
      <c r="X89" s="41"/>
      <c r="Y89" s="41"/>
      <c r="Z89" s="23">
        <f t="shared" si="14"/>
        <v>3627.3500000000004</v>
      </c>
      <c r="AA89" s="23">
        <f t="shared" si="15"/>
        <v>0</v>
      </c>
      <c r="AB89" s="23">
        <f t="shared" si="16"/>
        <v>0</v>
      </c>
      <c r="AC89" s="23">
        <f t="shared" si="17"/>
        <v>0</v>
      </c>
      <c r="AD89" s="23">
        <f t="shared" si="18"/>
        <v>0</v>
      </c>
      <c r="AE89" s="23">
        <f t="shared" si="19"/>
        <v>0</v>
      </c>
      <c r="AF89" s="23">
        <f t="shared" si="20"/>
        <v>3627.3500000000004</v>
      </c>
      <c r="AG89" s="28" t="s">
        <v>23</v>
      </c>
      <c r="AH89" s="19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s="45" customFormat="1" ht="22.5" customHeight="1" thickBot="1" thickTop="1">
      <c r="A90" s="42"/>
      <c r="B90" s="88">
        <v>87</v>
      </c>
      <c r="C90" s="29">
        <v>15490</v>
      </c>
      <c r="D90" s="29" t="s">
        <v>21</v>
      </c>
      <c r="E90" s="29">
        <v>1</v>
      </c>
      <c r="F90" s="29" t="s">
        <v>96</v>
      </c>
      <c r="G90" s="30">
        <v>0</v>
      </c>
      <c r="H90" s="30">
        <v>1</v>
      </c>
      <c r="I90" s="17">
        <v>0</v>
      </c>
      <c r="J90" s="30">
        <v>1</v>
      </c>
      <c r="K90" s="14">
        <v>0</v>
      </c>
      <c r="L90" s="14">
        <v>5</v>
      </c>
      <c r="M90" s="17">
        <v>1</v>
      </c>
      <c r="N90" s="30">
        <v>1</v>
      </c>
      <c r="O90" s="30">
        <v>1</v>
      </c>
      <c r="P90" s="30">
        <v>0</v>
      </c>
      <c r="Q90" s="30">
        <v>1</v>
      </c>
      <c r="R90" s="30">
        <v>0</v>
      </c>
      <c r="S90" s="30">
        <v>0</v>
      </c>
      <c r="T90" s="18"/>
      <c r="U90" s="18"/>
      <c r="V90" s="18">
        <f>22967.21+4740</f>
        <v>27707.21</v>
      </c>
      <c r="W90" s="18"/>
      <c r="X90" s="31"/>
      <c r="Y90" s="31"/>
      <c r="Z90" s="23">
        <f t="shared" si="14"/>
        <v>5541.442</v>
      </c>
      <c r="AA90" s="23">
        <f t="shared" si="15"/>
        <v>1662.4325999999999</v>
      </c>
      <c r="AB90" s="23">
        <f t="shared" si="16"/>
        <v>0</v>
      </c>
      <c r="AC90" s="23">
        <f t="shared" si="17"/>
        <v>0</v>
      </c>
      <c r="AD90" s="23">
        <f t="shared" si="18"/>
        <v>0</v>
      </c>
      <c r="AE90" s="23">
        <f t="shared" si="19"/>
        <v>0</v>
      </c>
      <c r="AF90" s="23">
        <f t="shared" si="20"/>
        <v>3879.0094</v>
      </c>
      <c r="AG90" s="28" t="s">
        <v>97</v>
      </c>
      <c r="AH90" s="66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</row>
    <row r="91" spans="1:92" ht="27.75" thickBot="1" thickTop="1">
      <c r="A91" s="16"/>
      <c r="B91" s="88">
        <v>88</v>
      </c>
      <c r="C91" s="15">
        <v>2438</v>
      </c>
      <c r="D91" s="39" t="s">
        <v>20</v>
      </c>
      <c r="E91" s="15">
        <v>1</v>
      </c>
      <c r="F91" s="15" t="s">
        <v>86</v>
      </c>
      <c r="G91" s="14">
        <v>0</v>
      </c>
      <c r="H91" s="14">
        <v>1</v>
      </c>
      <c r="I91" s="14">
        <v>1</v>
      </c>
      <c r="J91" s="14">
        <v>1</v>
      </c>
      <c r="K91" s="14">
        <v>0</v>
      </c>
      <c r="L91" s="14">
        <v>4</v>
      </c>
      <c r="M91" s="14">
        <v>1</v>
      </c>
      <c r="N91" s="14">
        <v>1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8">
        <v>22086.63</v>
      </c>
      <c r="U91" s="18"/>
      <c r="V91" s="18">
        <f>30533.1+6560-T91</f>
        <v>15006.469999999998</v>
      </c>
      <c r="W91" s="18"/>
      <c r="X91" s="31"/>
      <c r="Y91" s="31"/>
      <c r="Z91" s="23">
        <f t="shared" si="14"/>
        <v>6512.446249999999</v>
      </c>
      <c r="AA91" s="23">
        <f t="shared" si="15"/>
        <v>0</v>
      </c>
      <c r="AB91" s="23">
        <f t="shared" si="16"/>
        <v>0</v>
      </c>
      <c r="AC91" s="23">
        <f t="shared" si="17"/>
        <v>0</v>
      </c>
      <c r="AD91" s="23">
        <f t="shared" si="18"/>
        <v>0</v>
      </c>
      <c r="AE91" s="23">
        <f t="shared" si="19"/>
        <v>1953.7338749999997</v>
      </c>
      <c r="AF91" s="23">
        <f t="shared" si="20"/>
        <v>4558.712374999999</v>
      </c>
      <c r="AG91" s="28" t="s">
        <v>26</v>
      </c>
      <c r="AH91" s="55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22.5" customHeight="1" thickBot="1" thickTop="1">
      <c r="A92" s="16">
        <v>224</v>
      </c>
      <c r="B92" s="88">
        <v>89</v>
      </c>
      <c r="C92" s="15">
        <v>15375</v>
      </c>
      <c r="D92" s="15" t="s">
        <v>21</v>
      </c>
      <c r="E92" s="15">
        <v>1</v>
      </c>
      <c r="F92" s="15" t="s">
        <v>172</v>
      </c>
      <c r="G92" s="14">
        <v>0</v>
      </c>
      <c r="H92" s="14">
        <v>1</v>
      </c>
      <c r="I92" s="14">
        <v>0</v>
      </c>
      <c r="J92" s="14">
        <v>1</v>
      </c>
      <c r="K92" s="14">
        <v>0</v>
      </c>
      <c r="L92" s="14">
        <v>4</v>
      </c>
      <c r="M92" s="14">
        <v>1</v>
      </c>
      <c r="N92" s="14">
        <v>1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8">
        <v>14562.2</v>
      </c>
      <c r="U92" s="18"/>
      <c r="V92" s="18">
        <f>7329.92+19824.31-T92</f>
        <v>12592.030000000002</v>
      </c>
      <c r="W92" s="18"/>
      <c r="X92" s="18"/>
      <c r="Y92" s="18"/>
      <c r="Z92" s="23">
        <f t="shared" si="14"/>
        <v>4968.282500000001</v>
      </c>
      <c r="AA92" s="23">
        <f t="shared" si="15"/>
        <v>0</v>
      </c>
      <c r="AB92" s="23">
        <f t="shared" si="16"/>
        <v>0</v>
      </c>
      <c r="AC92" s="23">
        <f t="shared" si="17"/>
        <v>0</v>
      </c>
      <c r="AD92" s="23">
        <f t="shared" si="18"/>
        <v>0</v>
      </c>
      <c r="AE92" s="23">
        <f t="shared" si="19"/>
        <v>0</v>
      </c>
      <c r="AF92" s="23">
        <f t="shared" si="20"/>
        <v>4968.282500000001</v>
      </c>
      <c r="AG92" s="28" t="s">
        <v>22</v>
      </c>
      <c r="AH92" s="67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ht="18.75" thickTop="1"/>
    <row r="94" ht="24" thickBot="1">
      <c r="B94" s="86" t="s">
        <v>192</v>
      </c>
    </row>
    <row r="95" spans="1:92" ht="24.75" thickBot="1" thickTop="1">
      <c r="A95" s="16">
        <v>129</v>
      </c>
      <c r="B95" s="88">
        <v>1</v>
      </c>
      <c r="C95" s="29">
        <v>2505</v>
      </c>
      <c r="D95" s="47" t="s">
        <v>20</v>
      </c>
      <c r="E95" s="29">
        <v>1</v>
      </c>
      <c r="F95" s="29" t="s">
        <v>77</v>
      </c>
      <c r="G95" s="52">
        <v>0</v>
      </c>
      <c r="H95" s="53">
        <v>0</v>
      </c>
      <c r="I95" s="53">
        <v>0</v>
      </c>
      <c r="J95" s="53">
        <v>1</v>
      </c>
      <c r="K95" s="52">
        <v>0</v>
      </c>
      <c r="L95" s="52">
        <v>6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4"/>
      <c r="U95" s="54"/>
      <c r="V95" s="54"/>
      <c r="W95" s="54"/>
      <c r="X95" s="43"/>
      <c r="Y95" s="43"/>
      <c r="Z95" s="35">
        <f>((T95*50%+U95*85%+V95)/L95)+W95</f>
        <v>0</v>
      </c>
      <c r="AA95" s="35">
        <f>IF(O95=1,Z95*30%,0)</f>
        <v>0</v>
      </c>
      <c r="AB95" s="35">
        <f>IF(K95=1,Z95*20%,0)</f>
        <v>0</v>
      </c>
      <c r="AC95" s="35">
        <f>IF(R95=1,Z95*10%,0)</f>
        <v>0</v>
      </c>
      <c r="AD95" s="35">
        <f>IF(S95=1,Z95*30%,0)</f>
        <v>0</v>
      </c>
      <c r="AE95" s="35">
        <f>IF(I95=1,Z95*30%,0)</f>
        <v>0</v>
      </c>
      <c r="AF95" s="35">
        <f>Z95-AA95-AB95-AC95-AD95-AE95</f>
        <v>0</v>
      </c>
      <c r="AG95" s="28" t="s">
        <v>78</v>
      </c>
      <c r="AH95" s="55" t="s">
        <v>191</v>
      </c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24.75" thickBot="1" thickTop="1">
      <c r="A96" s="16"/>
      <c r="B96" s="88">
        <v>2</v>
      </c>
      <c r="C96" s="29">
        <v>15399</v>
      </c>
      <c r="D96" s="29" t="s">
        <v>21</v>
      </c>
      <c r="E96" s="29">
        <v>1</v>
      </c>
      <c r="F96" s="29" t="s">
        <v>102</v>
      </c>
      <c r="G96" s="30">
        <v>0</v>
      </c>
      <c r="H96" s="30"/>
      <c r="I96" s="30"/>
      <c r="J96" s="30">
        <v>1</v>
      </c>
      <c r="K96" s="14">
        <v>0</v>
      </c>
      <c r="L96" s="14">
        <v>4</v>
      </c>
      <c r="M96" s="14">
        <v>1</v>
      </c>
      <c r="N96" s="30">
        <v>1</v>
      </c>
      <c r="O96" s="64">
        <v>0</v>
      </c>
      <c r="P96" s="64">
        <v>0</v>
      </c>
      <c r="Q96" s="30">
        <v>0</v>
      </c>
      <c r="R96" s="30">
        <v>0</v>
      </c>
      <c r="S96" s="64">
        <v>0</v>
      </c>
      <c r="T96" s="81"/>
      <c r="U96" s="18"/>
      <c r="V96" s="18"/>
      <c r="W96" s="18"/>
      <c r="X96" s="18"/>
      <c r="Y96" s="18"/>
      <c r="Z96" s="23">
        <f>((T96*50%+U96*85%+V96)/L96)+W96</f>
        <v>0</v>
      </c>
      <c r="AA96" s="23">
        <f>IF(O96=1,Z96*30%,0)</f>
        <v>0</v>
      </c>
      <c r="AB96" s="23">
        <f>IF(K96=1,Z96*20%,0)</f>
        <v>0</v>
      </c>
      <c r="AC96" s="23">
        <f>IF(R96=1,Z96*10%,0)</f>
        <v>0</v>
      </c>
      <c r="AD96" s="23">
        <f>IF(S96=1,Z96*30%,0)</f>
        <v>0</v>
      </c>
      <c r="AE96" s="23">
        <f>IF(I96=1,Z96*30%,0)</f>
        <v>0</v>
      </c>
      <c r="AF96" s="23">
        <f>Z96-AA96-AB96-AC96-AD96-AE96</f>
        <v>0</v>
      </c>
      <c r="AG96" s="48" t="s">
        <v>23</v>
      </c>
      <c r="AH96" s="67" t="s">
        <v>191</v>
      </c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2:92" s="40" customFormat="1" ht="27.75" thickBot="1" thickTop="1">
      <c r="B97" s="88">
        <v>3</v>
      </c>
      <c r="C97" s="29">
        <v>15383</v>
      </c>
      <c r="D97" s="29" t="s">
        <v>21</v>
      </c>
      <c r="E97" s="29">
        <v>1</v>
      </c>
      <c r="F97" s="29" t="s">
        <v>79</v>
      </c>
      <c r="G97" s="30">
        <v>0</v>
      </c>
      <c r="H97" s="30">
        <v>1</v>
      </c>
      <c r="I97" s="30">
        <v>1</v>
      </c>
      <c r="J97" s="30">
        <v>1</v>
      </c>
      <c r="K97" s="14">
        <v>0</v>
      </c>
      <c r="L97" s="14">
        <v>4</v>
      </c>
      <c r="M97" s="14">
        <v>1</v>
      </c>
      <c r="N97" s="30">
        <v>1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18"/>
      <c r="U97" s="18"/>
      <c r="V97" s="18">
        <f>12109.67+6500</f>
        <v>18609.67</v>
      </c>
      <c r="W97" s="18"/>
      <c r="X97" s="18"/>
      <c r="Y97" s="18"/>
      <c r="Z97" s="23">
        <f>((T97*50%+U97*85%+V97)/L97)+W97</f>
        <v>4652.4175</v>
      </c>
      <c r="AA97" s="23">
        <f>IF(O97=1,Z97*30%,0)</f>
        <v>0</v>
      </c>
      <c r="AB97" s="23">
        <f>IF(K97=1,Z97*20%,0)</f>
        <v>0</v>
      </c>
      <c r="AC97" s="23">
        <f>IF(R97=1,Z97*10%,0)</f>
        <v>0</v>
      </c>
      <c r="AD97" s="23">
        <f>IF(S97=1,Z97*30%,0)</f>
        <v>0</v>
      </c>
      <c r="AE97" s="23">
        <f>IF(I97=1,Z97*30%,0)</f>
        <v>1395.7252499999997</v>
      </c>
      <c r="AF97" s="23">
        <f>Z97-AA97-AB97-AC97-AD97-AE97</f>
        <v>3256.69225</v>
      </c>
      <c r="AG97" s="73" t="s">
        <v>80</v>
      </c>
      <c r="AH97" s="77" t="s">
        <v>193</v>
      </c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</row>
    <row r="98" spans="2:92" s="40" customFormat="1" ht="19.5" thickBot="1" thickTop="1">
      <c r="B98" s="88">
        <v>4</v>
      </c>
      <c r="C98" s="29">
        <v>2462</v>
      </c>
      <c r="D98" s="47" t="s">
        <v>20</v>
      </c>
      <c r="E98" s="29">
        <v>1</v>
      </c>
      <c r="F98" s="29" t="s">
        <v>99</v>
      </c>
      <c r="G98" s="17">
        <v>0</v>
      </c>
      <c r="H98" s="30">
        <v>1</v>
      </c>
      <c r="I98" s="30">
        <v>1</v>
      </c>
      <c r="J98" s="30">
        <v>1</v>
      </c>
      <c r="K98" s="17">
        <v>0</v>
      </c>
      <c r="L98" s="17">
        <v>1</v>
      </c>
      <c r="M98" s="30">
        <v>1</v>
      </c>
      <c r="N98" s="30">
        <v>1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41"/>
      <c r="U98" s="41"/>
      <c r="V98" s="41">
        <v>4820</v>
      </c>
      <c r="W98" s="41"/>
      <c r="X98" s="43"/>
      <c r="Y98" s="43"/>
      <c r="Z98" s="23">
        <f>((T98*50%+U98*85%+V98)/L98)+W98</f>
        <v>4820</v>
      </c>
      <c r="AA98" s="23">
        <f>IF(O98=1,Z98*30%,0)</f>
        <v>0</v>
      </c>
      <c r="AB98" s="23">
        <f>IF(K98=1,Z98*20%,0)</f>
        <v>0</v>
      </c>
      <c r="AC98" s="23">
        <f>IF(R98=1,Z98*10%,0)</f>
        <v>0</v>
      </c>
      <c r="AD98" s="23">
        <f>IF(S98=1,Z98*30%,0)</f>
        <v>0</v>
      </c>
      <c r="AE98" s="23">
        <f>IF(I98=1,Z98*30%,0)</f>
        <v>1446</v>
      </c>
      <c r="AF98" s="23">
        <f>Z98-AA98-AB98-AC98-AD98-AE98</f>
        <v>3374</v>
      </c>
      <c r="AG98" s="28" t="s">
        <v>23</v>
      </c>
      <c r="AH98" s="77" t="s">
        <v>193</v>
      </c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</row>
    <row r="99" ht="18.75" thickTop="1"/>
  </sheetData>
  <sheetProtection/>
  <autoFilter ref="A3:CN92"/>
  <mergeCells count="1">
    <mergeCell ref="B1:AH1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600" verticalDpi="600" orientation="landscape" paperSize="9" scale="80" r:id="rId1"/>
  <headerFooter alignWithMargins="0">
    <oddHeader>&amp;LΤΜΗΜΑ ΣΠΟΥΔΑΣΤΙΚΗΣ ΜΕΡΙΜΝΑΣ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userx</cp:lastModifiedBy>
  <cp:lastPrinted>2015-10-05T07:07:28Z</cp:lastPrinted>
  <dcterms:created xsi:type="dcterms:W3CDTF">2007-10-03T16:28:55Z</dcterms:created>
  <dcterms:modified xsi:type="dcterms:W3CDTF">2015-10-07T10:52:44Z</dcterms:modified>
  <cp:category/>
  <cp:version/>
  <cp:contentType/>
  <cp:contentStatus/>
</cp:coreProperties>
</file>