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8445" activeTab="0"/>
  </bookViews>
  <sheets>
    <sheet name="ΣΤΕΓΑΣΗ" sheetId="1" r:id="rId1"/>
  </sheets>
  <definedNames>
    <definedName name="_xlnm._FilterDatabase" localSheetId="0" hidden="1">'ΣΤΕΓΑΣΗ'!$A$3:$CM$83</definedName>
    <definedName name="_xlnm.Print_Area" localSheetId="0">'ΣΤΕΓΑΣΗ'!$B$1:$AG$83</definedName>
    <definedName name="_xlnm.Print_Titles" localSheetId="0">'ΣΤΕΓΑΣΗ'!$3:$3</definedName>
  </definedNames>
  <calcPr fullCalcOnLoad="1"/>
</workbook>
</file>

<file path=xl/sharedStrings.xml><?xml version="1.0" encoding="utf-8"?>
<sst xmlns="http://schemas.openxmlformats.org/spreadsheetml/2006/main" count="186" uniqueCount="112">
  <si>
    <t>Α/Α</t>
  </si>
  <si>
    <t>ΤΜΗΜΑ</t>
  </si>
  <si>
    <t>ΠΙΣΤΟΠΟΙΗΤΙΚΟ ΟΙΚΟΓΕΝΕΙΑΚΗΣ ΚΑΤΑΣΤΑΣΗΣ</t>
  </si>
  <si>
    <t>ΤΡΙΤΕΚΝΟΙ</t>
  </si>
  <si>
    <t>ΒΕΒΑΙΩΣΗ ΣΠΟΥΔΩΝ</t>
  </si>
  <si>
    <t>ΕΞΑΜΗΝΟ</t>
  </si>
  <si>
    <t>ΑΡ. ΠΡΩΤ. ΑΙΤΗΣΗΣ/ΗΜΕΡΟΜΗΝΙΑ</t>
  </si>
  <si>
    <t>ΕΚΚΑΘΑΡΙΣΤΙΚΟ ΣΗΜΕΙΩΜΑ ΤΟΥ ΤΡΕΧΟΝΤΟΣ ΕΤΟΥΣ (2012) ή Ε1 ΣΕ ΠΕΡΙΠΤΩΣΗ ΠΟΥ ΔΕΝ ΥΠΑΡΧΕΙ ΤΟ ΕΚΚΑΘ. ΓΙΑ ΤΟ ΟΙΚ.ΕΙΣΟΔΗΜΑ ΤΩΝ ΓΟΝΙΩΝ &amp; ΤΟ ΑΝΤΙΣΤΟΙΧΟ ΕΚΚ.ΣΗΜ. ΕΦΟΣΟΝ ΥΠΟΒΑΛΛΟΥΝ ΟΙ ΙΔΙΟΙ ΦΟΡ.ΔΗΛΩΣΗ</t>
  </si>
  <si>
    <t>ΦΩΤΟΤΥΠΙΑ ΑΣΤΥΝΟΜΙΚΗΣ ΤΑΥΤΟΤΗΤΑΣ ΕΠΙΚΥΡΩΜΕΝΗ ή ΠΙΣΤΟΠΟΙΗΤΙΚΟ ΓΕΝΝΗΣΗΣ ΑΠΌ ΤΟΝ ΟΙΚΕΙΟ ΔΗΜΟ</t>
  </si>
  <si>
    <t>ΠΟΛΥΤΕΚΝΟΙ (ΠΙΣΤΟΠΟΙΗΤΙΚΟ ΠΟΛΥΤΕΚΝΙΑΣ ΑΠΌ ΤΗΝ ΑΝΩΤΑΤΗ ΣΥΝΟΜΟΣΠΟΝΔΙΑ ΠΟΛΥΤΕΚΝΩΝ)</t>
  </si>
  <si>
    <t>ΑΔΕΛΦΟΣ/Η ΦΟΙΤΗΤΗΣ/ΤΡΙΑ (0 υπότροφο) ή ΣΤΡΑΤΙΩΤΗΣ, =&gt; ΒΕΒΑΙΩΣΗ ΤΜΗΜΑΤΟΣ Ή ΒΕΒ. ΌΤΙ ΥΠΗΡΕΤΕΙ ΤΗΝ ΣΤΡΑΤ.ΘΗΤΕΙΑ</t>
  </si>
  <si>
    <t>Ελεύθεροι επαγγελματίες &amp; Λοιπά εισοδήματα</t>
  </si>
  <si>
    <t>Προσωπικό Εισόδημα</t>
  </si>
  <si>
    <t>Οικογενειακό κατά κεφαλή εισόδημα</t>
  </si>
  <si>
    <t>Τελικό κατακεφαλή εισόδημα</t>
  </si>
  <si>
    <t>Ορφανός από 1 γονέα</t>
  </si>
  <si>
    <r>
      <t xml:space="preserve">ΥΠ. ΔΗΛΩΣΗ ΓΙΑ ΤΟΝ ΤΟΠΟ ΜΟΝΙΜΗΣ ΚΑΤΟΙΚΙΑΣ ΤΩΝ ΓΟΝΕΩΝ ή ΒΕΒΑΙΩΣΗ ΑΠΌ ΔΗΜΟ </t>
    </r>
    <r>
      <rPr>
        <sz val="8"/>
        <rFont val="Arial"/>
        <family val="2"/>
      </rPr>
      <t>(1 Αν κατοικεί σε &gt;50χλμ, αλλιώς 0)</t>
    </r>
    <r>
      <rPr>
        <b/>
        <sz val="8"/>
        <rFont val="Arial"/>
        <family val="2"/>
      </rPr>
      <t xml:space="preserve"> </t>
    </r>
  </si>
  <si>
    <r>
      <t xml:space="preserve">Μονογονεϊκή οικογένεια </t>
    </r>
    <r>
      <rPr>
        <sz val="8"/>
        <rFont val="Arial"/>
        <family val="2"/>
      </rPr>
      <t>(ΔΙΑΖΕΥΓΜΕΝΟΙ ΓΟΝΕΙΣ-ΔΙΚΑΣΤΙΚΗ ΑΠΟΦΑΣΗ ΠΡΟΣΔΙΟΡΙΣΜΟΥ ΤΗΣ ΕΠΙΜΕΛΕΙΑΣ ή άγαμη μητέρα αν ισχύουν δίνετε τιμή 1)</t>
    </r>
    <r>
      <rPr>
        <b/>
        <sz val="8"/>
        <rFont val="Arial"/>
        <family val="2"/>
      </rPr>
      <t xml:space="preserve"> </t>
    </r>
  </si>
  <si>
    <r>
      <t xml:space="preserve">ΛΟΓΟΙ ΥΓΕΙΑΣ Ή ΑΝΑΠΗΡΙΑΣ </t>
    </r>
    <r>
      <rPr>
        <b/>
        <sz val="8"/>
        <color indexed="10"/>
        <rFont val="Arial"/>
        <family val="2"/>
      </rPr>
      <t>Γονέων</t>
    </r>
    <r>
      <rPr>
        <b/>
        <sz val="8"/>
        <rFont val="Arial"/>
        <family val="2"/>
      </rPr>
      <t xml:space="preserve"> (ΒΕΒΑΙΩΣΗ ΑΠΌ ΑΡΜΟΔΙΑ ΔΗΜΟΣΙΑ ΥΓΕΙΟΝΟΜΙΚΗ ΕΠΙΤΡΟΠΗ (Α΄ή Β βαθμια - αν ισχύουν δίνετε τιμή 1)</t>
    </r>
  </si>
  <si>
    <r>
      <t xml:space="preserve">Εκπτώσεις από </t>
    </r>
    <r>
      <rPr>
        <b/>
        <sz val="8"/>
        <color indexed="10"/>
        <rFont val="Arial"/>
        <family val="2"/>
      </rPr>
      <t>άνεργο στο</t>
    </r>
    <r>
      <rPr>
        <b/>
        <sz val="8"/>
        <rFont val="Arial"/>
        <family val="2"/>
      </rPr>
      <t xml:space="preserve"> κατακεφαλή εισόδημα (30%)</t>
    </r>
  </si>
  <si>
    <t>ΤΕΚΜΑΡΤΟ ΕΙΣΟΔΗΜΑ</t>
  </si>
  <si>
    <t xml:space="preserve">ΣΥΝΟΛΙΚΟ ΕΙΣΟΔΗΜΑ </t>
  </si>
  <si>
    <t>Α.Μ.</t>
  </si>
  <si>
    <t>ΛΠΜ</t>
  </si>
  <si>
    <t>ΤΓ</t>
  </si>
  <si>
    <t>ΜΠ</t>
  </si>
  <si>
    <r>
      <t xml:space="preserve">Αρ. Μελών οικογένειας </t>
    </r>
    <r>
      <rPr>
        <sz val="8"/>
        <rFont val="Arial"/>
        <family val="2"/>
      </rPr>
      <t>(Ζώντες γονείς + προστατευόμενα αδέρφια &lt;24 ή των  &lt;28 αν σπουδάζουν)</t>
    </r>
  </si>
  <si>
    <r>
      <t xml:space="preserve">Εκπτώσεις </t>
    </r>
    <r>
      <rPr>
        <b/>
        <sz val="8"/>
        <color indexed="10"/>
        <rFont val="Arial"/>
        <family val="2"/>
      </rPr>
      <t>από σπουδές ή στρατ. Θητεία Αδερφών</t>
    </r>
    <r>
      <rPr>
        <b/>
        <sz val="8"/>
        <rFont val="Arial"/>
        <family val="2"/>
      </rPr>
      <t xml:space="preserve"> στο κατακεφαλή εισόδημα (30%)</t>
    </r>
  </si>
  <si>
    <r>
      <t xml:space="preserve">Εκπτώσεις από </t>
    </r>
    <r>
      <rPr>
        <b/>
        <sz val="8"/>
        <color indexed="10"/>
        <rFont val="Arial"/>
        <family val="2"/>
      </rPr>
      <t xml:space="preserve">ορφανός από 1 γονέα </t>
    </r>
    <r>
      <rPr>
        <b/>
        <sz val="8"/>
        <rFont val="Arial"/>
        <family val="2"/>
      </rPr>
      <t>στο κατακεφαλή εισόδημα (20%)</t>
    </r>
  </si>
  <si>
    <r>
      <t xml:space="preserve">Εκπτώσεις από </t>
    </r>
    <r>
      <rPr>
        <b/>
        <sz val="8"/>
        <color indexed="10"/>
        <rFont val="Arial"/>
        <family val="2"/>
      </rPr>
      <t xml:space="preserve">μονογονεική </t>
    </r>
    <r>
      <rPr>
        <b/>
        <sz val="8"/>
        <rFont val="Arial"/>
        <family val="2"/>
      </rPr>
      <t>κατακεφαλή εισόδημα (10%)</t>
    </r>
  </si>
  <si>
    <r>
      <t xml:space="preserve">Εκπτώσεις από </t>
    </r>
    <r>
      <rPr>
        <b/>
        <sz val="8"/>
        <color indexed="10"/>
        <rFont val="Arial"/>
        <family val="2"/>
      </rPr>
      <t xml:space="preserve">αναπηρία γονέων &gt; 67% </t>
    </r>
    <r>
      <rPr>
        <b/>
        <sz val="8"/>
        <rFont val="Arial"/>
        <family val="2"/>
      </rPr>
      <t>στο κατακεφαλή εισόδημα (30%)</t>
    </r>
  </si>
  <si>
    <t>Εισόδημα αγροτών (ΜΕΙΩΣΗ 15%)</t>
  </si>
  <si>
    <t>ΚΑΤΑΣΤΑΣΗ ΣΤΕΓΑΣΗΣ Φοιτητών  ΠΡΩΤΟΕΤΩΝ ΤΕΙ ΗΠΕΙΡΟΥ ΣΤΗΝ ΑΡΤΑ ΑΚΑΔΗΜΑΪΚΟΥ ΕΤΟΥΣ 2014-2015 (κατά κεφαλή εισόδημα)</t>
  </si>
  <si>
    <t>1298/18.9.14</t>
  </si>
  <si>
    <t>1301/18.09.14</t>
  </si>
  <si>
    <t>1307/18.09.14</t>
  </si>
  <si>
    <t>1296/17.09.14</t>
  </si>
  <si>
    <t>1294/17.09.14</t>
  </si>
  <si>
    <t>1293/17.09.14</t>
  </si>
  <si>
    <t>1289/17.09.14</t>
  </si>
  <si>
    <t>1287/17.09.14</t>
  </si>
  <si>
    <t>1286/17.09.14</t>
  </si>
  <si>
    <t>Εισόδημα από Μισθωτές Υπηρεσίες Γονέων (Δημόσιο και ιδιωτικό τομέα και συνταξιούχων &amp; ταμείο ανεργίας, αυτοτελή) (ΜΕΊΩΣΗ 50%)</t>
  </si>
  <si>
    <t>1313/18.09.14</t>
  </si>
  <si>
    <t>1316/18.09.14</t>
  </si>
  <si>
    <t>1328/18.09.14</t>
  </si>
  <si>
    <t>1265/16.09.14</t>
  </si>
  <si>
    <t>1339/19.09.14</t>
  </si>
  <si>
    <t>1358/19.09.14</t>
  </si>
  <si>
    <t>1362/19.09.14</t>
  </si>
  <si>
    <t>1372/22.09.14</t>
  </si>
  <si>
    <t>1376/22.09.14</t>
  </si>
  <si>
    <t>1333/18.09.14</t>
  </si>
  <si>
    <t>1387/22.09.14</t>
  </si>
  <si>
    <t>1390/22.09.14</t>
  </si>
  <si>
    <t>1371/22.09.14</t>
  </si>
  <si>
    <t>1392/22.09.14</t>
  </si>
  <si>
    <t>1218/15.09.14</t>
  </si>
  <si>
    <t>1220/15.09.14</t>
  </si>
  <si>
    <t>1223/15.09.14</t>
  </si>
  <si>
    <t>1229/15.09.14</t>
  </si>
  <si>
    <t>1226/15.09.14</t>
  </si>
  <si>
    <t>1230/15.09.14</t>
  </si>
  <si>
    <t>1403/22.09.14</t>
  </si>
  <si>
    <t>1409/23.09.14</t>
  </si>
  <si>
    <t>1235/15.09.14</t>
  </si>
  <si>
    <t>1240/16.09.14</t>
  </si>
  <si>
    <t>1244/16.09.14</t>
  </si>
  <si>
    <t>1252/16.09.14</t>
  </si>
  <si>
    <t>1251/16.09.14</t>
  </si>
  <si>
    <t>1414/23.09.14</t>
  </si>
  <si>
    <t>1257/16.09.14</t>
  </si>
  <si>
    <t>1260/16.09.14</t>
  </si>
  <si>
    <t>1269/17.09.14</t>
  </si>
  <si>
    <t>1271/17.09.14</t>
  </si>
  <si>
    <t>1334/18.09.14</t>
  </si>
  <si>
    <t>1273/17.09.14</t>
  </si>
  <si>
    <t>1276/17.09.14</t>
  </si>
  <si>
    <t>1248/16.09.14</t>
  </si>
  <si>
    <t>1318/18.09.14</t>
  </si>
  <si>
    <t>1330/18.09.14</t>
  </si>
  <si>
    <t>1325/18.09.14</t>
  </si>
  <si>
    <t>1338/19.09.14</t>
  </si>
  <si>
    <t>1341/19.09.14</t>
  </si>
  <si>
    <t>ΒΕΒΑΙΩΣΗ ΑΝΕΡΓΙΑΣ ΑΠΟ ΤΟΝ ΟΑΕΔ</t>
  </si>
  <si>
    <t>1280/17.09.14</t>
  </si>
  <si>
    <t>1435/24.09.14</t>
  </si>
  <si>
    <t>1442/24.09.14</t>
  </si>
  <si>
    <t>1349/19.09.14</t>
  </si>
  <si>
    <t>1445/24.09.14</t>
  </si>
  <si>
    <t>1448/24.09.14</t>
  </si>
  <si>
    <t>1455/24.09.14</t>
  </si>
  <si>
    <t>1454/24.09.14</t>
  </si>
  <si>
    <t>1352/19.09.14</t>
  </si>
  <si>
    <t>1357/19.09.14</t>
  </si>
  <si>
    <t>1365/19.09.14</t>
  </si>
  <si>
    <t>1468/25.09.14</t>
  </si>
  <si>
    <t>1432/23.09.14</t>
  </si>
  <si>
    <t>1474/25.09.14</t>
  </si>
  <si>
    <t>1347/19.09.14</t>
  </si>
  <si>
    <t>1246/16.09.14</t>
  </si>
  <si>
    <t>1507/26.09.14</t>
  </si>
  <si>
    <t>1543/29.09.14</t>
  </si>
  <si>
    <t>1539/29.09.14</t>
  </si>
  <si>
    <t>1540/29.09.14</t>
  </si>
  <si>
    <t>1534/29.09.14</t>
  </si>
  <si>
    <t>1494/26.09.14</t>
  </si>
  <si>
    <t>1486/26.09.14</t>
  </si>
  <si>
    <t>1585/30.09.14</t>
  </si>
  <si>
    <t>1497/26.09.14</t>
  </si>
  <si>
    <t>1599/30.09.14</t>
  </si>
  <si>
    <t>ΑΠΟΡΡΙΠΤΕΟΙ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</si>
</sst>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#,##0.00\ &quot;€&quot;"/>
    <numFmt numFmtId="166" formatCode="#,##0.000"/>
    <numFmt numFmtId="167" formatCode="#,##0.0"/>
    <numFmt numFmtId="168" formatCode="0.000"/>
    <numFmt numFmtId="169" formatCode="0.0000"/>
    <numFmt numFmtId="170" formatCode="[$-408]dddd\,\ d\ mmmm\ yyyy"/>
    <numFmt numFmtId="171" formatCode="0.000%"/>
    <numFmt numFmtId="172" formatCode="0.0%"/>
    <numFmt numFmtId="173" formatCode="[$-408]h:mm:ss\ AM/PM"/>
    <numFmt numFmtId="174" formatCode="0.0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color indexed="49"/>
      <name val="Arial"/>
      <family val="2"/>
    </font>
    <font>
      <b/>
      <sz val="8"/>
      <color indexed="10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1" applyNumberFormat="0" applyAlignment="0" applyProtection="0"/>
    <xf numFmtId="0" fontId="19" fillId="16" borderId="2" applyNumberFormat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20" fillId="21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1" borderId="1" applyNumberFormat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21" borderId="10" xfId="0" applyFont="1" applyFill="1" applyBorder="1" applyAlignment="1">
      <alignment horizontal="center" vertical="center"/>
    </xf>
    <xf numFmtId="0" fontId="5" fillId="21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21" borderId="11" xfId="0" applyFont="1" applyFill="1" applyBorder="1" applyAlignment="1">
      <alignment horizontal="center" vertical="center" textRotation="90" wrapText="1"/>
    </xf>
    <xf numFmtId="0" fontId="5" fillId="21" borderId="11" xfId="0" applyFont="1" applyFill="1" applyBorder="1" applyAlignment="1">
      <alignment horizontal="center" vertical="center" textRotation="90"/>
    </xf>
    <xf numFmtId="0" fontId="5" fillId="21" borderId="11" xfId="0" applyFont="1" applyFill="1" applyBorder="1" applyAlignment="1">
      <alignment horizontal="center" vertical="center" textRotation="90" wrapText="1"/>
    </xf>
    <xf numFmtId="0" fontId="9" fillId="21" borderId="12" xfId="0" applyFont="1" applyFill="1" applyBorder="1" applyAlignment="1">
      <alignment horizontal="center" vertical="center" textRotation="90" wrapText="1"/>
    </xf>
    <xf numFmtId="0" fontId="10" fillId="24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 wrapText="1"/>
    </xf>
    <xf numFmtId="165" fontId="7" fillId="0" borderId="11" xfId="0" applyNumberFormat="1" applyFont="1" applyFill="1" applyBorder="1" applyAlignment="1">
      <alignment wrapText="1"/>
    </xf>
    <xf numFmtId="165" fontId="7" fillId="25" borderId="11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7" fillId="0" borderId="11" xfId="0" applyFont="1" applyFill="1" applyBorder="1" applyAlignment="1">
      <alignment horizontal="right"/>
    </xf>
    <xf numFmtId="165" fontId="7" fillId="0" borderId="11" xfId="0" applyNumberFormat="1" applyFont="1" applyFill="1" applyBorder="1" applyAlignment="1">
      <alignment horizontal="right" wrapText="1"/>
    </xf>
    <xf numFmtId="165" fontId="7" fillId="25" borderId="11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left" wrapText="1"/>
    </xf>
    <xf numFmtId="0" fontId="5" fillId="10" borderId="10" xfId="0" applyFont="1" applyFill="1" applyBorder="1" applyAlignment="1">
      <alignment horizontal="center"/>
    </xf>
    <xf numFmtId="0" fontId="5" fillId="10" borderId="0" xfId="0" applyFont="1" applyFill="1" applyAlignment="1">
      <alignment/>
    </xf>
    <xf numFmtId="0" fontId="4" fillId="10" borderId="0" xfId="0" applyFont="1" applyFill="1" applyAlignment="1">
      <alignment/>
    </xf>
    <xf numFmtId="4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5" fillId="26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11" xfId="0" applyFont="1" applyBorder="1" applyAlignment="1">
      <alignment horizontal="right" wrapText="1"/>
    </xf>
    <xf numFmtId="0" fontId="7" fillId="0" borderId="11" xfId="0" applyFont="1" applyBorder="1" applyAlignment="1">
      <alignment horizontal="right"/>
    </xf>
    <xf numFmtId="165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165" fontId="7" fillId="0" borderId="11" xfId="0" applyNumberFormat="1" applyFont="1" applyBorder="1" applyAlignment="1">
      <alignment wrapText="1"/>
    </xf>
    <xf numFmtId="0" fontId="9" fillId="25" borderId="11" xfId="0" applyFont="1" applyFill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wrapText="1"/>
    </xf>
    <xf numFmtId="0" fontId="34" fillId="0" borderId="11" xfId="0" applyFont="1" applyFill="1" applyBorder="1" applyAlignment="1">
      <alignment horizontal="center" wrapText="1"/>
    </xf>
    <xf numFmtId="0" fontId="4" fillId="26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right"/>
    </xf>
    <xf numFmtId="165" fontId="7" fillId="0" borderId="11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wrapText="1"/>
    </xf>
    <xf numFmtId="165" fontId="7" fillId="25" borderId="11" xfId="0" applyNumberFormat="1" applyFont="1" applyFill="1" applyBorder="1" applyAlignment="1">
      <alignment wrapText="1"/>
    </xf>
    <xf numFmtId="165" fontId="7" fillId="25" borderId="11" xfId="0" applyNumberFormat="1" applyFont="1" applyFill="1" applyBorder="1" applyAlignment="1">
      <alignment horizontal="right" wrapText="1"/>
    </xf>
    <xf numFmtId="0" fontId="14" fillId="0" borderId="11" xfId="0" applyFont="1" applyBorder="1" applyAlignment="1">
      <alignment/>
    </xf>
    <xf numFmtId="2" fontId="7" fillId="0" borderId="11" xfId="0" applyNumberFormat="1" applyFont="1" applyFill="1" applyBorder="1" applyAlignment="1">
      <alignment wrapText="1"/>
    </xf>
    <xf numFmtId="2" fontId="7" fillId="0" borderId="11" xfId="0" applyNumberFormat="1" applyFont="1" applyBorder="1" applyAlignment="1">
      <alignment wrapText="1"/>
    </xf>
    <xf numFmtId="2" fontId="7" fillId="0" borderId="11" xfId="0" applyNumberFormat="1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21" borderId="11" xfId="0" applyFont="1" applyFill="1" applyBorder="1" applyAlignment="1">
      <alignment horizontal="right" vertical="center"/>
    </xf>
    <xf numFmtId="0" fontId="34" fillId="0" borderId="1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7" fillId="0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/>
    </xf>
    <xf numFmtId="165" fontId="7" fillId="0" borderId="0" xfId="0" applyNumberFormat="1" applyFont="1" applyAlignment="1">
      <alignment wrapText="1"/>
    </xf>
    <xf numFmtId="0" fontId="34" fillId="0" borderId="11" xfId="0" applyFont="1" applyBorder="1" applyAlignment="1">
      <alignment horizontal="center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165" fontId="7" fillId="0" borderId="0" xfId="0" applyNumberFormat="1" applyFont="1" applyFill="1" applyBorder="1" applyAlignment="1">
      <alignment wrapText="1"/>
    </xf>
    <xf numFmtId="2" fontId="7" fillId="0" borderId="0" xfId="0" applyNumberFormat="1" applyFont="1" applyFill="1" applyBorder="1" applyAlignment="1">
      <alignment wrapText="1"/>
    </xf>
    <xf numFmtId="4" fontId="7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Fill="1" applyBorder="1" applyAlignment="1">
      <alignment horizontal="right" wrapText="1"/>
    </xf>
    <xf numFmtId="0" fontId="38" fillId="0" borderId="11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right"/>
    </xf>
    <xf numFmtId="165" fontId="38" fillId="0" borderId="11" xfId="0" applyNumberFormat="1" applyFont="1" applyFill="1" applyBorder="1" applyAlignment="1">
      <alignment horizontal="right" wrapText="1"/>
    </xf>
    <xf numFmtId="165" fontId="38" fillId="25" borderId="11" xfId="0" applyNumberFormat="1" applyFont="1" applyFill="1" applyBorder="1" applyAlignment="1">
      <alignment horizontal="right" wrapText="1"/>
    </xf>
    <xf numFmtId="2" fontId="38" fillId="0" borderId="11" xfId="0" applyNumberFormat="1" applyFont="1" applyFill="1" applyBorder="1" applyAlignment="1">
      <alignment wrapText="1"/>
    </xf>
    <xf numFmtId="0" fontId="38" fillId="0" borderId="11" xfId="0" applyFont="1" applyFill="1" applyBorder="1" applyAlignment="1">
      <alignment wrapText="1"/>
    </xf>
    <xf numFmtId="0" fontId="38" fillId="0" borderId="0" xfId="0" applyFont="1" applyAlignment="1">
      <alignment/>
    </xf>
    <xf numFmtId="0" fontId="39" fillId="10" borderId="0" xfId="0" applyFont="1" applyFill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19"/>
  <sheetViews>
    <sheetView tabSelected="1" view="pageBreakPreview" zoomScaleNormal="75" zoomScaleSheetLayoutView="100" zoomScalePageLayoutView="0" workbookViewId="0" topLeftCell="B1">
      <pane ySplit="3" topLeftCell="BM4" activePane="bottomLeft" state="frozen"/>
      <selection pane="topLeft" activeCell="B1" sqref="B1"/>
      <selection pane="bottomLeft" activeCell="B1" sqref="B1"/>
    </sheetView>
  </sheetViews>
  <sheetFormatPr defaultColWidth="9.140625" defaultRowHeight="12.75"/>
  <cols>
    <col min="1" max="1" width="6.28125" style="1" hidden="1" customWidth="1"/>
    <col min="2" max="2" width="6.00390625" style="16" customWidth="1"/>
    <col min="3" max="3" width="9.140625" style="2" customWidth="1"/>
    <col min="4" max="4" width="4.8515625" style="2" customWidth="1"/>
    <col min="5" max="5" width="5.57421875" style="2" customWidth="1"/>
    <col min="6" max="6" width="17.57421875" style="2" customWidth="1"/>
    <col min="7" max="19" width="5.421875" style="2" customWidth="1"/>
    <col min="20" max="22" width="13.421875" style="2" customWidth="1"/>
    <col min="23" max="23" width="15.7109375" style="2" customWidth="1"/>
    <col min="24" max="24" width="0.13671875" style="2" hidden="1" customWidth="1"/>
    <col min="25" max="25" width="2.140625" style="2" hidden="1" customWidth="1"/>
    <col min="26" max="26" width="16.00390625" style="2" customWidth="1"/>
    <col min="27" max="32" width="13.421875" style="2" customWidth="1"/>
    <col min="33" max="33" width="17.00390625" style="2" hidden="1" customWidth="1"/>
    <col min="34" max="91" width="9.140625" style="3" customWidth="1"/>
    <col min="92" max="16384" width="9.140625" style="1" customWidth="1"/>
  </cols>
  <sheetData>
    <row r="1" spans="2:91" s="4" customFormat="1" ht="27.75">
      <c r="B1" s="15"/>
      <c r="C1" s="97" t="s">
        <v>32</v>
      </c>
      <c r="D1" s="9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</row>
    <row r="2" ht="6.75" customHeight="1" thickBot="1">
      <c r="C2" s="68"/>
    </row>
    <row r="3" spans="1:33" ht="197.25" customHeight="1" thickBot="1" thickTop="1">
      <c r="A3" s="5" t="s">
        <v>0</v>
      </c>
      <c r="B3" s="70" t="s">
        <v>0</v>
      </c>
      <c r="C3" s="6" t="s">
        <v>22</v>
      </c>
      <c r="D3" s="10" t="s">
        <v>1</v>
      </c>
      <c r="E3" s="10" t="s">
        <v>5</v>
      </c>
      <c r="F3" s="11" t="s">
        <v>6</v>
      </c>
      <c r="G3" s="9" t="s">
        <v>4</v>
      </c>
      <c r="H3" s="9" t="s">
        <v>7</v>
      </c>
      <c r="I3" s="9" t="s">
        <v>84</v>
      </c>
      <c r="J3" s="9" t="s">
        <v>2</v>
      </c>
      <c r="K3" s="9" t="s">
        <v>15</v>
      </c>
      <c r="L3" s="9" t="s">
        <v>26</v>
      </c>
      <c r="M3" s="9" t="s">
        <v>16</v>
      </c>
      <c r="N3" s="9" t="s">
        <v>8</v>
      </c>
      <c r="O3" s="9" t="s">
        <v>10</v>
      </c>
      <c r="P3" s="9" t="s">
        <v>9</v>
      </c>
      <c r="Q3" s="9" t="s">
        <v>3</v>
      </c>
      <c r="R3" s="9" t="s">
        <v>17</v>
      </c>
      <c r="S3" s="9" t="s">
        <v>18</v>
      </c>
      <c r="T3" s="9" t="s">
        <v>42</v>
      </c>
      <c r="U3" s="9" t="s">
        <v>31</v>
      </c>
      <c r="V3" s="9" t="s">
        <v>11</v>
      </c>
      <c r="W3" s="9" t="s">
        <v>12</v>
      </c>
      <c r="X3" s="53" t="s">
        <v>21</v>
      </c>
      <c r="Y3" s="53" t="s">
        <v>20</v>
      </c>
      <c r="Z3" s="9" t="s">
        <v>13</v>
      </c>
      <c r="AA3" s="9" t="s">
        <v>27</v>
      </c>
      <c r="AB3" s="9" t="s">
        <v>28</v>
      </c>
      <c r="AC3" s="9" t="s">
        <v>29</v>
      </c>
      <c r="AD3" s="9" t="s">
        <v>30</v>
      </c>
      <c r="AE3" s="9" t="s">
        <v>19</v>
      </c>
      <c r="AF3" s="12" t="s">
        <v>14</v>
      </c>
      <c r="AG3" s="13"/>
    </row>
    <row r="4" spans="1:91" ht="19.5" thickBot="1" thickTop="1">
      <c r="A4" s="27">
        <v>23</v>
      </c>
      <c r="B4" s="28">
        <v>1</v>
      </c>
      <c r="C4" s="19">
        <v>2316</v>
      </c>
      <c r="D4" s="73" t="s">
        <v>23</v>
      </c>
      <c r="E4" s="19">
        <v>1</v>
      </c>
      <c r="F4" s="18" t="s">
        <v>79</v>
      </c>
      <c r="G4" s="18">
        <v>0</v>
      </c>
      <c r="H4" s="18">
        <v>1</v>
      </c>
      <c r="I4" s="18">
        <v>1</v>
      </c>
      <c r="J4" s="18">
        <v>1</v>
      </c>
      <c r="K4" s="18">
        <v>0</v>
      </c>
      <c r="L4" s="18">
        <v>5</v>
      </c>
      <c r="M4" s="18">
        <v>1</v>
      </c>
      <c r="N4" s="18">
        <v>1</v>
      </c>
      <c r="O4" s="18">
        <v>0</v>
      </c>
      <c r="P4" s="18">
        <v>0</v>
      </c>
      <c r="Q4" s="18">
        <v>1</v>
      </c>
      <c r="R4" s="18">
        <v>0</v>
      </c>
      <c r="S4" s="18">
        <v>0</v>
      </c>
      <c r="T4" s="30">
        <v>47.19</v>
      </c>
      <c r="U4" s="30"/>
      <c r="V4" s="30">
        <f>2500-T4</f>
        <v>2452.81</v>
      </c>
      <c r="W4" s="30"/>
      <c r="X4" s="62"/>
      <c r="Y4" s="62"/>
      <c r="Z4" s="65">
        <f aca="true" t="shared" si="0" ref="Z4:Z34">((T4*50%+U4*85%+V4)/L4)+W4</f>
        <v>495.28099999999995</v>
      </c>
      <c r="AA4" s="65">
        <f aca="true" t="shared" si="1" ref="AA4:AA34">IF(O4=1,Z4*30%,0)</f>
        <v>0</v>
      </c>
      <c r="AB4" s="65">
        <f aca="true" t="shared" si="2" ref="AB4:AB34">IF(K4=1,Z4*20%,0)</f>
        <v>0</v>
      </c>
      <c r="AC4" s="65">
        <f aca="true" t="shared" si="3" ref="AC4:AC34">IF(R4=1,Z4*10%,0)</f>
        <v>0</v>
      </c>
      <c r="AD4" s="65">
        <f aca="true" t="shared" si="4" ref="AD4:AD34">IF(S4=1,Z4*30%,0)</f>
        <v>0</v>
      </c>
      <c r="AE4" s="65">
        <f aca="true" t="shared" si="5" ref="AE4:AE10">IF(I4=1,Z4*30%,0)</f>
        <v>148.58429999999998</v>
      </c>
      <c r="AF4" s="65">
        <f aca="true" t="shared" si="6" ref="AF4:AF34">Z4-AA4-AB4-AC4-AD4-AE4</f>
        <v>346.69669999999996</v>
      </c>
      <c r="AG4" s="18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</row>
    <row r="5" spans="1:91" ht="22.5" customHeight="1" thickBot="1" thickTop="1">
      <c r="A5" s="27"/>
      <c r="B5" s="28">
        <v>2</v>
      </c>
      <c r="C5" s="20">
        <v>15204</v>
      </c>
      <c r="D5" s="20" t="s">
        <v>24</v>
      </c>
      <c r="E5" s="20">
        <v>1</v>
      </c>
      <c r="F5" s="20" t="s">
        <v>100</v>
      </c>
      <c r="G5" s="33">
        <v>0</v>
      </c>
      <c r="H5" s="33">
        <v>1</v>
      </c>
      <c r="I5" s="19">
        <v>0</v>
      </c>
      <c r="J5" s="33">
        <v>1</v>
      </c>
      <c r="K5" s="18">
        <v>0</v>
      </c>
      <c r="L5" s="18">
        <v>6</v>
      </c>
      <c r="M5" s="18">
        <v>1</v>
      </c>
      <c r="N5" s="33">
        <v>1</v>
      </c>
      <c r="O5" s="33">
        <v>1</v>
      </c>
      <c r="P5" s="33">
        <v>1</v>
      </c>
      <c r="Q5" s="33">
        <v>0</v>
      </c>
      <c r="R5" s="33">
        <v>1</v>
      </c>
      <c r="S5" s="33">
        <v>1</v>
      </c>
      <c r="T5" s="30">
        <f>9305.32+4439.95+1560.22</f>
        <v>15305.49</v>
      </c>
      <c r="U5" s="30"/>
      <c r="V5" s="30">
        <v>855</v>
      </c>
      <c r="W5" s="30"/>
      <c r="X5" s="30"/>
      <c r="Y5" s="30"/>
      <c r="Z5" s="65">
        <f t="shared" si="0"/>
        <v>1417.9574999999998</v>
      </c>
      <c r="AA5" s="65">
        <f t="shared" si="1"/>
        <v>425.38724999999994</v>
      </c>
      <c r="AB5" s="65">
        <f t="shared" si="2"/>
        <v>0</v>
      </c>
      <c r="AC5" s="65">
        <f t="shared" si="3"/>
        <v>141.79574999999997</v>
      </c>
      <c r="AD5" s="65">
        <f t="shared" si="4"/>
        <v>425.38724999999994</v>
      </c>
      <c r="AE5" s="65">
        <f t="shared" si="5"/>
        <v>0</v>
      </c>
      <c r="AF5" s="65">
        <f t="shared" si="6"/>
        <v>425.3872499999998</v>
      </c>
      <c r="AG5" s="18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</row>
    <row r="6" spans="1:91" s="39" customFormat="1" ht="22.5" customHeight="1" thickBot="1" thickTop="1">
      <c r="A6" s="37">
        <v>64</v>
      </c>
      <c r="B6" s="28">
        <v>3</v>
      </c>
      <c r="C6" s="20">
        <v>15245</v>
      </c>
      <c r="D6" s="20" t="s">
        <v>24</v>
      </c>
      <c r="E6" s="20">
        <v>1</v>
      </c>
      <c r="F6" s="20" t="s">
        <v>50</v>
      </c>
      <c r="G6" s="47">
        <v>0</v>
      </c>
      <c r="H6" s="48">
        <v>1</v>
      </c>
      <c r="I6" s="48">
        <v>1</v>
      </c>
      <c r="J6" s="48">
        <v>1</v>
      </c>
      <c r="K6" s="47">
        <v>0</v>
      </c>
      <c r="L6" s="47">
        <v>4</v>
      </c>
      <c r="M6" s="48">
        <v>1</v>
      </c>
      <c r="N6" s="48">
        <v>1</v>
      </c>
      <c r="O6" s="48">
        <v>0</v>
      </c>
      <c r="P6" s="48">
        <v>0</v>
      </c>
      <c r="Q6" s="48">
        <v>1</v>
      </c>
      <c r="R6" s="48">
        <v>1</v>
      </c>
      <c r="S6" s="48">
        <v>0</v>
      </c>
      <c r="T6" s="49">
        <v>4753.27</v>
      </c>
      <c r="U6" s="49"/>
      <c r="V6" s="49">
        <f>5600-T6</f>
        <v>846.7299999999996</v>
      </c>
      <c r="W6" s="49"/>
      <c r="X6" s="49"/>
      <c r="Y6" s="49"/>
      <c r="Z6" s="66">
        <f t="shared" si="0"/>
        <v>805.84125</v>
      </c>
      <c r="AA6" s="66">
        <f t="shared" si="1"/>
        <v>0</v>
      </c>
      <c r="AB6" s="66">
        <f t="shared" si="2"/>
        <v>0</v>
      </c>
      <c r="AC6" s="66">
        <f t="shared" si="3"/>
        <v>80.584125</v>
      </c>
      <c r="AD6" s="66">
        <f t="shared" si="4"/>
        <v>0</v>
      </c>
      <c r="AE6" s="66">
        <f t="shared" si="5"/>
        <v>241.75237499999997</v>
      </c>
      <c r="AF6" s="66">
        <f t="shared" si="6"/>
        <v>483.50475</v>
      </c>
      <c r="AG6" s="1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9.5" thickBot="1" thickTop="1">
      <c r="A7" s="27">
        <v>129</v>
      </c>
      <c r="B7" s="28">
        <v>4</v>
      </c>
      <c r="C7" s="19">
        <v>2333</v>
      </c>
      <c r="D7" s="73" t="s">
        <v>23</v>
      </c>
      <c r="E7" s="19">
        <v>1</v>
      </c>
      <c r="F7" s="18" t="s">
        <v>69</v>
      </c>
      <c r="G7" s="18">
        <v>0</v>
      </c>
      <c r="H7" s="18">
        <v>1</v>
      </c>
      <c r="I7" s="18">
        <v>1</v>
      </c>
      <c r="J7" s="18">
        <v>1</v>
      </c>
      <c r="K7" s="18">
        <v>0</v>
      </c>
      <c r="L7" s="18">
        <v>4</v>
      </c>
      <c r="M7" s="18">
        <v>1</v>
      </c>
      <c r="N7" s="18">
        <v>1</v>
      </c>
      <c r="O7" s="18">
        <v>0</v>
      </c>
      <c r="P7" s="18">
        <v>0</v>
      </c>
      <c r="Q7" s="18">
        <v>0</v>
      </c>
      <c r="R7" s="18">
        <v>0</v>
      </c>
      <c r="S7" s="18">
        <v>1</v>
      </c>
      <c r="T7" s="30">
        <f>5805.16+1426.1</f>
        <v>7231.26</v>
      </c>
      <c r="U7" s="30"/>
      <c r="V7" s="30">
        <f>6500+2500-T7</f>
        <v>1768.7399999999998</v>
      </c>
      <c r="W7" s="30"/>
      <c r="X7" s="31"/>
      <c r="Y7" s="31"/>
      <c r="Z7" s="65">
        <f t="shared" si="0"/>
        <v>1346.0925</v>
      </c>
      <c r="AA7" s="65">
        <f t="shared" si="1"/>
        <v>0</v>
      </c>
      <c r="AB7" s="65">
        <f t="shared" si="2"/>
        <v>0</v>
      </c>
      <c r="AC7" s="65">
        <f t="shared" si="3"/>
        <v>0</v>
      </c>
      <c r="AD7" s="65">
        <f t="shared" si="4"/>
        <v>403.82775</v>
      </c>
      <c r="AE7" s="65">
        <f t="shared" si="5"/>
        <v>403.82775</v>
      </c>
      <c r="AF7" s="65">
        <f t="shared" si="6"/>
        <v>538.4370000000001</v>
      </c>
      <c r="AG7" s="18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</row>
    <row r="8" spans="1:91" ht="22.5" customHeight="1" thickBot="1" thickTop="1">
      <c r="A8" s="27">
        <v>203</v>
      </c>
      <c r="B8" s="28">
        <v>5</v>
      </c>
      <c r="C8" s="20">
        <v>15256</v>
      </c>
      <c r="D8" s="20" t="s">
        <v>25</v>
      </c>
      <c r="E8" s="20">
        <v>1</v>
      </c>
      <c r="F8" s="20" t="s">
        <v>96</v>
      </c>
      <c r="G8" s="28">
        <v>0</v>
      </c>
      <c r="H8" s="33">
        <v>1</v>
      </c>
      <c r="I8" s="33">
        <v>1</v>
      </c>
      <c r="J8" s="33">
        <v>1</v>
      </c>
      <c r="K8" s="28">
        <v>0</v>
      </c>
      <c r="L8" s="28">
        <v>5</v>
      </c>
      <c r="M8" s="33">
        <v>1</v>
      </c>
      <c r="N8" s="33">
        <v>1</v>
      </c>
      <c r="O8" s="33">
        <v>0</v>
      </c>
      <c r="P8" s="33">
        <v>0</v>
      </c>
      <c r="Q8" s="33">
        <v>1</v>
      </c>
      <c r="R8" s="33">
        <v>0</v>
      </c>
      <c r="S8" s="33">
        <v>0</v>
      </c>
      <c r="T8" s="34">
        <v>8270.97</v>
      </c>
      <c r="U8" s="34"/>
      <c r="V8" s="34"/>
      <c r="W8" s="34"/>
      <c r="X8" s="35"/>
      <c r="Y8" s="35"/>
      <c r="Z8" s="65">
        <f t="shared" si="0"/>
        <v>827.097</v>
      </c>
      <c r="AA8" s="65">
        <f t="shared" si="1"/>
        <v>0</v>
      </c>
      <c r="AB8" s="65">
        <f t="shared" si="2"/>
        <v>0</v>
      </c>
      <c r="AC8" s="65">
        <f t="shared" si="3"/>
        <v>0</v>
      </c>
      <c r="AD8" s="65">
        <f t="shared" si="4"/>
        <v>0</v>
      </c>
      <c r="AE8" s="65">
        <f t="shared" si="5"/>
        <v>248.1291</v>
      </c>
      <c r="AF8" s="65">
        <f t="shared" si="6"/>
        <v>578.9679</v>
      </c>
      <c r="AG8" s="50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</row>
    <row r="9" spans="1:91" ht="22.5" customHeight="1" thickBot="1" thickTop="1">
      <c r="A9" s="27"/>
      <c r="B9" s="28">
        <v>6</v>
      </c>
      <c r="C9" s="20">
        <v>15315</v>
      </c>
      <c r="D9" s="51" t="s">
        <v>24</v>
      </c>
      <c r="E9" s="51">
        <v>1</v>
      </c>
      <c r="F9" s="51" t="s">
        <v>108</v>
      </c>
      <c r="G9" s="48">
        <v>0</v>
      </c>
      <c r="H9" s="48">
        <v>1</v>
      </c>
      <c r="I9" s="48">
        <v>0</v>
      </c>
      <c r="J9" s="48">
        <v>1</v>
      </c>
      <c r="K9" s="23">
        <v>1</v>
      </c>
      <c r="L9" s="23">
        <v>5</v>
      </c>
      <c r="M9" s="23">
        <v>1</v>
      </c>
      <c r="N9" s="48">
        <v>1</v>
      </c>
      <c r="O9" s="48">
        <v>1</v>
      </c>
      <c r="P9" s="48">
        <v>1</v>
      </c>
      <c r="Q9" s="48">
        <v>0</v>
      </c>
      <c r="R9" s="48">
        <v>0</v>
      </c>
      <c r="S9" s="48">
        <v>0</v>
      </c>
      <c r="T9" s="52">
        <v>698.18</v>
      </c>
      <c r="U9" s="52"/>
      <c r="V9" s="52">
        <f>7546-T9</f>
        <v>6847.82</v>
      </c>
      <c r="W9" s="52"/>
      <c r="X9" s="62"/>
      <c r="Y9" s="62"/>
      <c r="Z9" s="66">
        <f t="shared" si="0"/>
        <v>1439.382</v>
      </c>
      <c r="AA9" s="66">
        <f t="shared" si="1"/>
        <v>431.8146</v>
      </c>
      <c r="AB9" s="66">
        <f t="shared" si="2"/>
        <v>287.87640000000005</v>
      </c>
      <c r="AC9" s="66">
        <f t="shared" si="3"/>
        <v>0</v>
      </c>
      <c r="AD9" s="66">
        <f t="shared" si="4"/>
        <v>0</v>
      </c>
      <c r="AE9" s="66">
        <f t="shared" si="5"/>
        <v>0</v>
      </c>
      <c r="AF9" s="66">
        <f t="shared" si="6"/>
        <v>719.691</v>
      </c>
      <c r="AG9" s="18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</row>
    <row r="10" spans="1:91" ht="22.5" customHeight="1" thickBot="1" thickTop="1">
      <c r="A10" s="27">
        <v>189</v>
      </c>
      <c r="B10" s="28">
        <v>7</v>
      </c>
      <c r="C10" s="20">
        <v>15250</v>
      </c>
      <c r="D10" s="20" t="s">
        <v>24</v>
      </c>
      <c r="E10" s="20">
        <v>1</v>
      </c>
      <c r="F10" s="20" t="s">
        <v>38</v>
      </c>
      <c r="G10" s="28">
        <v>0</v>
      </c>
      <c r="H10" s="33">
        <v>1</v>
      </c>
      <c r="I10" s="33">
        <v>0</v>
      </c>
      <c r="J10" s="33">
        <v>1</v>
      </c>
      <c r="K10" s="28">
        <v>0</v>
      </c>
      <c r="L10" s="28">
        <v>4</v>
      </c>
      <c r="M10" s="33">
        <v>1</v>
      </c>
      <c r="N10" s="33">
        <v>1</v>
      </c>
      <c r="O10" s="33">
        <v>0</v>
      </c>
      <c r="P10" s="33">
        <v>0</v>
      </c>
      <c r="Q10" s="33">
        <v>0</v>
      </c>
      <c r="R10" s="33">
        <v>1</v>
      </c>
      <c r="S10" s="33">
        <v>0</v>
      </c>
      <c r="T10" s="34">
        <v>6896.55</v>
      </c>
      <c r="U10" s="34"/>
      <c r="V10" s="34"/>
      <c r="W10" s="34"/>
      <c r="X10" s="34"/>
      <c r="Y10" s="34"/>
      <c r="Z10" s="65">
        <f t="shared" si="0"/>
        <v>862.06875</v>
      </c>
      <c r="AA10" s="65">
        <f t="shared" si="1"/>
        <v>0</v>
      </c>
      <c r="AB10" s="65">
        <f t="shared" si="2"/>
        <v>0</v>
      </c>
      <c r="AC10" s="65">
        <f t="shared" si="3"/>
        <v>86.20687500000001</v>
      </c>
      <c r="AD10" s="65">
        <f t="shared" si="4"/>
        <v>0</v>
      </c>
      <c r="AE10" s="65">
        <f t="shared" si="5"/>
        <v>0</v>
      </c>
      <c r="AF10" s="65">
        <f t="shared" si="6"/>
        <v>775.861875</v>
      </c>
      <c r="AG10" s="18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</row>
    <row r="11" spans="1:91" s="44" customFormat="1" ht="25.5" customHeight="1" thickBot="1" thickTop="1">
      <c r="A11" s="42">
        <v>29</v>
      </c>
      <c r="B11" s="28">
        <v>8</v>
      </c>
      <c r="C11" s="19">
        <v>15325</v>
      </c>
      <c r="D11" s="19" t="s">
        <v>24</v>
      </c>
      <c r="E11" s="19">
        <v>1</v>
      </c>
      <c r="F11" s="18" t="s">
        <v>52</v>
      </c>
      <c r="G11" s="18">
        <v>0</v>
      </c>
      <c r="H11" s="18">
        <v>1</v>
      </c>
      <c r="I11" s="18">
        <v>1</v>
      </c>
      <c r="J11" s="18">
        <v>0</v>
      </c>
      <c r="K11" s="18">
        <v>0</v>
      </c>
      <c r="L11" s="18">
        <v>3</v>
      </c>
      <c r="M11" s="18">
        <v>1</v>
      </c>
      <c r="N11" s="18">
        <v>1</v>
      </c>
      <c r="O11" s="18">
        <v>0</v>
      </c>
      <c r="P11" s="18">
        <v>1</v>
      </c>
      <c r="Q11" s="18">
        <v>0</v>
      </c>
      <c r="R11" s="18">
        <v>0</v>
      </c>
      <c r="S11" s="18">
        <v>0</v>
      </c>
      <c r="T11" s="30">
        <v>0</v>
      </c>
      <c r="U11" s="30">
        <v>0</v>
      </c>
      <c r="V11" s="30">
        <v>0</v>
      </c>
      <c r="W11" s="30">
        <v>872.44</v>
      </c>
      <c r="X11" s="31"/>
      <c r="Y11" s="31"/>
      <c r="Z11" s="65">
        <f t="shared" si="0"/>
        <v>872.44</v>
      </c>
      <c r="AA11" s="65">
        <f t="shared" si="1"/>
        <v>0</v>
      </c>
      <c r="AB11" s="65">
        <f t="shared" si="2"/>
        <v>0</v>
      </c>
      <c r="AC11" s="65">
        <f t="shared" si="3"/>
        <v>0</v>
      </c>
      <c r="AD11" s="65">
        <f t="shared" si="4"/>
        <v>0</v>
      </c>
      <c r="AE11" s="65">
        <v>0</v>
      </c>
      <c r="AF11" s="65">
        <f t="shared" si="6"/>
        <v>872.44</v>
      </c>
      <c r="AG11" s="18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</row>
    <row r="12" spans="1:91" ht="22.5" customHeight="1" thickBot="1" thickTop="1">
      <c r="A12" s="27"/>
      <c r="B12" s="28">
        <v>9</v>
      </c>
      <c r="C12" s="19">
        <v>2314</v>
      </c>
      <c r="D12" s="73" t="s">
        <v>23</v>
      </c>
      <c r="E12" s="19">
        <v>1</v>
      </c>
      <c r="F12" s="18" t="s">
        <v>101</v>
      </c>
      <c r="G12" s="18">
        <v>0</v>
      </c>
      <c r="H12" s="18">
        <v>1</v>
      </c>
      <c r="I12" s="18">
        <v>1</v>
      </c>
      <c r="J12" s="18">
        <v>1</v>
      </c>
      <c r="K12" s="18">
        <v>0</v>
      </c>
      <c r="L12" s="18">
        <v>2</v>
      </c>
      <c r="M12" s="18">
        <v>1</v>
      </c>
      <c r="N12" s="18">
        <v>1</v>
      </c>
      <c r="O12" s="18">
        <v>0</v>
      </c>
      <c r="P12" s="18">
        <v>0</v>
      </c>
      <c r="Q12" s="18">
        <v>0</v>
      </c>
      <c r="R12" s="18">
        <v>1</v>
      </c>
      <c r="S12" s="18">
        <v>0</v>
      </c>
      <c r="T12" s="30">
        <v>125.18</v>
      </c>
      <c r="U12" s="30"/>
      <c r="V12" s="30">
        <f>3000-T12</f>
        <v>2874.82</v>
      </c>
      <c r="W12" s="30"/>
      <c r="X12" s="31"/>
      <c r="Y12" s="31"/>
      <c r="Z12" s="65">
        <f t="shared" si="0"/>
        <v>1468.7050000000002</v>
      </c>
      <c r="AA12" s="65">
        <f t="shared" si="1"/>
        <v>0</v>
      </c>
      <c r="AB12" s="65">
        <f t="shared" si="2"/>
        <v>0</v>
      </c>
      <c r="AC12" s="65">
        <f t="shared" si="3"/>
        <v>146.87050000000002</v>
      </c>
      <c r="AD12" s="65">
        <f t="shared" si="4"/>
        <v>0</v>
      </c>
      <c r="AE12" s="65">
        <f aca="true" t="shared" si="7" ref="AE12:AE43">IF(I12=1,Z12*30%,0)</f>
        <v>440.61150000000004</v>
      </c>
      <c r="AF12" s="65">
        <f t="shared" si="6"/>
        <v>881.2230000000002</v>
      </c>
      <c r="AG12" s="41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</row>
    <row r="13" spans="1:91" ht="22.5" customHeight="1" thickBot="1" thickTop="1">
      <c r="A13" s="27">
        <v>81</v>
      </c>
      <c r="B13" s="28">
        <v>10</v>
      </c>
      <c r="C13" s="20">
        <v>2311</v>
      </c>
      <c r="D13" s="55" t="s">
        <v>23</v>
      </c>
      <c r="E13" s="20">
        <v>1</v>
      </c>
      <c r="F13" s="20" t="s">
        <v>91</v>
      </c>
      <c r="G13" s="28">
        <v>0</v>
      </c>
      <c r="H13" s="33">
        <v>1</v>
      </c>
      <c r="I13" s="33">
        <v>1</v>
      </c>
      <c r="J13" s="33">
        <v>1</v>
      </c>
      <c r="K13" s="28">
        <v>0</v>
      </c>
      <c r="L13" s="28">
        <v>5</v>
      </c>
      <c r="M13" s="33">
        <v>1</v>
      </c>
      <c r="N13" s="33">
        <v>1</v>
      </c>
      <c r="O13" s="33">
        <v>1</v>
      </c>
      <c r="P13" s="33">
        <v>0</v>
      </c>
      <c r="Q13" s="33">
        <v>1</v>
      </c>
      <c r="R13" s="33">
        <v>0</v>
      </c>
      <c r="S13" s="33">
        <v>0</v>
      </c>
      <c r="T13" s="34">
        <f>11629.41+6243.12</f>
        <v>17872.53</v>
      </c>
      <c r="U13" s="34"/>
      <c r="V13" s="34">
        <f>13700+6264.33-T13</f>
        <v>2091.800000000003</v>
      </c>
      <c r="W13" s="34"/>
      <c r="X13" s="34"/>
      <c r="Y13" s="34"/>
      <c r="Z13" s="65">
        <f t="shared" si="0"/>
        <v>2205.6130000000003</v>
      </c>
      <c r="AA13" s="65">
        <f t="shared" si="1"/>
        <v>661.6839000000001</v>
      </c>
      <c r="AB13" s="65">
        <f t="shared" si="2"/>
        <v>0</v>
      </c>
      <c r="AC13" s="65">
        <f t="shared" si="3"/>
        <v>0</v>
      </c>
      <c r="AD13" s="65">
        <f t="shared" si="4"/>
        <v>0</v>
      </c>
      <c r="AE13" s="65">
        <f t="shared" si="7"/>
        <v>661.6839000000001</v>
      </c>
      <c r="AF13" s="65">
        <f t="shared" si="6"/>
        <v>882.2452000000002</v>
      </c>
      <c r="AG13" s="18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</row>
    <row r="14" spans="1:91" ht="22.5" customHeight="1" thickBot="1" thickTop="1">
      <c r="A14" s="27">
        <v>221</v>
      </c>
      <c r="B14" s="28">
        <v>11</v>
      </c>
      <c r="C14" s="19">
        <v>15214</v>
      </c>
      <c r="D14" s="19" t="s">
        <v>24</v>
      </c>
      <c r="E14" s="19">
        <v>1</v>
      </c>
      <c r="F14" s="18" t="s">
        <v>81</v>
      </c>
      <c r="G14" s="18">
        <v>0</v>
      </c>
      <c r="H14" s="18">
        <v>1</v>
      </c>
      <c r="I14" s="18">
        <v>1</v>
      </c>
      <c r="J14" s="18">
        <v>1</v>
      </c>
      <c r="K14" s="18">
        <v>0</v>
      </c>
      <c r="L14" s="18">
        <v>5</v>
      </c>
      <c r="M14" s="18">
        <v>1</v>
      </c>
      <c r="N14" s="18">
        <v>1</v>
      </c>
      <c r="O14" s="18">
        <v>1</v>
      </c>
      <c r="P14" s="18">
        <v>1</v>
      </c>
      <c r="Q14" s="18">
        <v>0</v>
      </c>
      <c r="R14" s="18">
        <v>0</v>
      </c>
      <c r="S14" s="18">
        <v>0</v>
      </c>
      <c r="T14" s="30">
        <f>18856.34+6183.98</f>
        <v>25040.32</v>
      </c>
      <c r="U14" s="30"/>
      <c r="V14" s="30"/>
      <c r="W14" s="30"/>
      <c r="X14" s="31"/>
      <c r="Y14" s="31"/>
      <c r="Z14" s="65">
        <f t="shared" si="0"/>
        <v>2504.032</v>
      </c>
      <c r="AA14" s="65">
        <f t="shared" si="1"/>
        <v>751.2096</v>
      </c>
      <c r="AB14" s="65">
        <f t="shared" si="2"/>
        <v>0</v>
      </c>
      <c r="AC14" s="65">
        <f t="shared" si="3"/>
        <v>0</v>
      </c>
      <c r="AD14" s="65">
        <f t="shared" si="4"/>
        <v>0</v>
      </c>
      <c r="AE14" s="65">
        <f t="shared" si="7"/>
        <v>751.2096</v>
      </c>
      <c r="AF14" s="65">
        <f t="shared" si="6"/>
        <v>1001.6128</v>
      </c>
      <c r="AG14" s="18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</row>
    <row r="15" spans="1:91" ht="19.5" thickBot="1" thickTop="1">
      <c r="A15" s="27">
        <v>180</v>
      </c>
      <c r="B15" s="28">
        <v>12</v>
      </c>
      <c r="C15" s="19">
        <v>15199</v>
      </c>
      <c r="D15" s="19" t="s">
        <v>25</v>
      </c>
      <c r="E15" s="19">
        <v>1</v>
      </c>
      <c r="F15" s="18" t="s">
        <v>64</v>
      </c>
      <c r="G15" s="18">
        <v>0</v>
      </c>
      <c r="H15" s="18">
        <v>1</v>
      </c>
      <c r="I15" s="18">
        <v>1</v>
      </c>
      <c r="J15" s="18">
        <v>1</v>
      </c>
      <c r="K15" s="18">
        <v>0</v>
      </c>
      <c r="L15" s="18">
        <v>4</v>
      </c>
      <c r="M15" s="18">
        <v>1</v>
      </c>
      <c r="N15" s="18">
        <v>1</v>
      </c>
      <c r="O15" s="18">
        <v>1</v>
      </c>
      <c r="P15" s="18">
        <v>0</v>
      </c>
      <c r="Q15" s="18">
        <v>0</v>
      </c>
      <c r="R15" s="18">
        <v>0</v>
      </c>
      <c r="S15" s="18">
        <v>0</v>
      </c>
      <c r="T15" s="30"/>
      <c r="U15" s="30">
        <f>1305.6+939.12</f>
        <v>2244.72</v>
      </c>
      <c r="V15" s="30">
        <f>8885+2500-U15</f>
        <v>9140.28</v>
      </c>
      <c r="W15" s="30"/>
      <c r="X15" s="31"/>
      <c r="Y15" s="31"/>
      <c r="Z15" s="65">
        <f t="shared" si="0"/>
        <v>2762.0730000000003</v>
      </c>
      <c r="AA15" s="65">
        <f t="shared" si="1"/>
        <v>828.6219000000001</v>
      </c>
      <c r="AB15" s="65">
        <f t="shared" si="2"/>
        <v>0</v>
      </c>
      <c r="AC15" s="65">
        <f t="shared" si="3"/>
        <v>0</v>
      </c>
      <c r="AD15" s="65">
        <f t="shared" si="4"/>
        <v>0</v>
      </c>
      <c r="AE15" s="65">
        <f t="shared" si="7"/>
        <v>828.6219000000001</v>
      </c>
      <c r="AF15" s="65">
        <f t="shared" si="6"/>
        <v>1104.8292000000001</v>
      </c>
      <c r="AG15" s="41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</row>
    <row r="16" spans="1:91" ht="22.5" customHeight="1" thickBot="1" thickTop="1">
      <c r="A16" s="26"/>
      <c r="B16" s="28">
        <v>13</v>
      </c>
      <c r="C16" s="20">
        <v>15249</v>
      </c>
      <c r="D16" s="20" t="s">
        <v>24</v>
      </c>
      <c r="E16" s="20">
        <v>1</v>
      </c>
      <c r="F16" s="20" t="s">
        <v>36</v>
      </c>
      <c r="G16" s="33">
        <v>0</v>
      </c>
      <c r="H16" s="33">
        <v>1</v>
      </c>
      <c r="I16" s="19">
        <v>1</v>
      </c>
      <c r="J16" s="33">
        <v>1</v>
      </c>
      <c r="K16" s="18">
        <v>0</v>
      </c>
      <c r="L16" s="18">
        <v>4</v>
      </c>
      <c r="M16" s="18">
        <v>1</v>
      </c>
      <c r="N16" s="33">
        <v>1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0"/>
      <c r="U16" s="30"/>
      <c r="V16" s="30">
        <v>6840</v>
      </c>
      <c r="W16" s="30"/>
      <c r="X16" s="31"/>
      <c r="Y16" s="31"/>
      <c r="Z16" s="65">
        <f t="shared" si="0"/>
        <v>1710</v>
      </c>
      <c r="AA16" s="65">
        <f t="shared" si="1"/>
        <v>0</v>
      </c>
      <c r="AB16" s="65">
        <f t="shared" si="2"/>
        <v>0</v>
      </c>
      <c r="AC16" s="65">
        <f t="shared" si="3"/>
        <v>0</v>
      </c>
      <c r="AD16" s="65">
        <f t="shared" si="4"/>
        <v>0</v>
      </c>
      <c r="AE16" s="65">
        <f t="shared" si="7"/>
        <v>513</v>
      </c>
      <c r="AF16" s="65">
        <f t="shared" si="6"/>
        <v>1197</v>
      </c>
      <c r="AG16" s="41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</row>
    <row r="17" spans="1:91" ht="22.5" customHeight="1" thickBot="1" thickTop="1">
      <c r="A17" s="27"/>
      <c r="B17" s="28">
        <v>14</v>
      </c>
      <c r="C17" s="20">
        <v>15138</v>
      </c>
      <c r="D17" s="76" t="s">
        <v>25</v>
      </c>
      <c r="E17" s="51">
        <v>1</v>
      </c>
      <c r="F17" s="51" t="s">
        <v>61</v>
      </c>
      <c r="G17" s="48">
        <v>0</v>
      </c>
      <c r="H17" s="48">
        <v>1</v>
      </c>
      <c r="I17" s="48">
        <v>1</v>
      </c>
      <c r="J17" s="48">
        <v>1</v>
      </c>
      <c r="K17" s="23">
        <v>0</v>
      </c>
      <c r="L17" s="23">
        <v>4</v>
      </c>
      <c r="M17" s="23">
        <v>1</v>
      </c>
      <c r="N17" s="48">
        <v>1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52"/>
      <c r="U17" s="52">
        <v>190.24</v>
      </c>
      <c r="V17" s="52">
        <f>6883.33-U17</f>
        <v>6693.09</v>
      </c>
      <c r="W17" s="52"/>
      <c r="X17" s="62"/>
      <c r="Y17" s="62"/>
      <c r="Z17" s="66">
        <f t="shared" si="0"/>
        <v>1713.6985</v>
      </c>
      <c r="AA17" s="65">
        <f t="shared" si="1"/>
        <v>0</v>
      </c>
      <c r="AB17" s="66">
        <f t="shared" si="2"/>
        <v>0</v>
      </c>
      <c r="AC17" s="66">
        <f t="shared" si="3"/>
        <v>0</v>
      </c>
      <c r="AD17" s="65">
        <f t="shared" si="4"/>
        <v>0</v>
      </c>
      <c r="AE17" s="66">
        <f t="shared" si="7"/>
        <v>514.10955</v>
      </c>
      <c r="AF17" s="65">
        <f t="shared" si="6"/>
        <v>1199.5889499999998</v>
      </c>
      <c r="AG17" s="50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</row>
    <row r="18" spans="1:91" ht="22.5" customHeight="1" thickBot="1" thickTop="1">
      <c r="A18" s="27">
        <v>21</v>
      </c>
      <c r="B18" s="28">
        <v>15</v>
      </c>
      <c r="C18" s="20">
        <v>2307</v>
      </c>
      <c r="D18" s="71" t="s">
        <v>23</v>
      </c>
      <c r="E18" s="20">
        <v>1</v>
      </c>
      <c r="F18" s="20" t="s">
        <v>76</v>
      </c>
      <c r="G18" s="28">
        <v>0</v>
      </c>
      <c r="H18" s="33">
        <v>1</v>
      </c>
      <c r="I18" s="33">
        <v>0</v>
      </c>
      <c r="J18" s="33">
        <v>1</v>
      </c>
      <c r="K18" s="28">
        <v>0</v>
      </c>
      <c r="L18" s="28">
        <v>4</v>
      </c>
      <c r="M18" s="33">
        <v>1</v>
      </c>
      <c r="N18" s="33">
        <v>1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4">
        <v>2788.24</v>
      </c>
      <c r="U18" s="34">
        <v>3115.26</v>
      </c>
      <c r="V18" s="34">
        <f>7000-U18-T18</f>
        <v>1096.5</v>
      </c>
      <c r="W18" s="34"/>
      <c r="X18" s="35"/>
      <c r="Y18" s="35"/>
      <c r="Z18" s="65">
        <f t="shared" si="0"/>
        <v>1284.64775</v>
      </c>
      <c r="AA18" s="65">
        <f t="shared" si="1"/>
        <v>0</v>
      </c>
      <c r="AB18" s="65">
        <f t="shared" si="2"/>
        <v>0</v>
      </c>
      <c r="AC18" s="65">
        <f t="shared" si="3"/>
        <v>0</v>
      </c>
      <c r="AD18" s="65">
        <f t="shared" si="4"/>
        <v>0</v>
      </c>
      <c r="AE18" s="65">
        <f t="shared" si="7"/>
        <v>0</v>
      </c>
      <c r="AF18" s="65">
        <f t="shared" si="6"/>
        <v>1284.64775</v>
      </c>
      <c r="AG18" s="18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</row>
    <row r="19" spans="1:91" ht="22.5" customHeight="1" thickBot="1" thickTop="1">
      <c r="A19" s="27">
        <v>194</v>
      </c>
      <c r="B19" s="28">
        <v>16</v>
      </c>
      <c r="C19" s="20">
        <v>15199</v>
      </c>
      <c r="D19" s="20" t="s">
        <v>24</v>
      </c>
      <c r="E19" s="20">
        <v>1</v>
      </c>
      <c r="F19" s="20" t="s">
        <v>73</v>
      </c>
      <c r="G19" s="28">
        <v>0</v>
      </c>
      <c r="H19" s="33">
        <v>1</v>
      </c>
      <c r="I19" s="33">
        <v>0</v>
      </c>
      <c r="J19" s="33">
        <v>1</v>
      </c>
      <c r="K19" s="28">
        <v>0</v>
      </c>
      <c r="L19" s="28">
        <v>5</v>
      </c>
      <c r="M19" s="33">
        <v>1</v>
      </c>
      <c r="N19" s="33">
        <v>1</v>
      </c>
      <c r="O19" s="33">
        <v>1</v>
      </c>
      <c r="P19" s="33">
        <v>1</v>
      </c>
      <c r="Q19" s="33">
        <v>0</v>
      </c>
      <c r="R19" s="33">
        <v>0</v>
      </c>
      <c r="S19" s="33">
        <v>0</v>
      </c>
      <c r="T19" s="34">
        <f>10334.07+8298.61</f>
        <v>18632.68</v>
      </c>
      <c r="U19" s="34"/>
      <c r="V19" s="34"/>
      <c r="W19" s="34"/>
      <c r="X19" s="35"/>
      <c r="Y19" s="35"/>
      <c r="Z19" s="65">
        <f t="shared" si="0"/>
        <v>1863.268</v>
      </c>
      <c r="AA19" s="65">
        <f t="shared" si="1"/>
        <v>558.9804</v>
      </c>
      <c r="AB19" s="65">
        <f t="shared" si="2"/>
        <v>0</v>
      </c>
      <c r="AC19" s="65">
        <f t="shared" si="3"/>
        <v>0</v>
      </c>
      <c r="AD19" s="65">
        <f t="shared" si="4"/>
        <v>0</v>
      </c>
      <c r="AE19" s="65">
        <f t="shared" si="7"/>
        <v>0</v>
      </c>
      <c r="AF19" s="65">
        <f t="shared" si="6"/>
        <v>1304.2876</v>
      </c>
      <c r="AG19" s="50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</row>
    <row r="20" spans="1:91" ht="22.5" customHeight="1" thickBot="1" thickTop="1">
      <c r="A20" s="27">
        <v>137</v>
      </c>
      <c r="B20" s="28">
        <v>17</v>
      </c>
      <c r="C20" s="19">
        <v>15188</v>
      </c>
      <c r="D20" s="19" t="s">
        <v>25</v>
      </c>
      <c r="E20" s="19">
        <v>1</v>
      </c>
      <c r="F20" s="18" t="s">
        <v>83</v>
      </c>
      <c r="G20" s="18">
        <v>0</v>
      </c>
      <c r="H20" s="18">
        <v>1</v>
      </c>
      <c r="I20" s="18">
        <v>1</v>
      </c>
      <c r="J20" s="18">
        <v>1</v>
      </c>
      <c r="K20" s="18">
        <v>0</v>
      </c>
      <c r="L20" s="18">
        <v>4</v>
      </c>
      <c r="M20" s="18">
        <v>1</v>
      </c>
      <c r="N20" s="18">
        <v>1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30">
        <v>15522.38</v>
      </c>
      <c r="U20" s="30"/>
      <c r="V20" s="30"/>
      <c r="W20" s="30"/>
      <c r="X20" s="30"/>
      <c r="Y20" s="30"/>
      <c r="Z20" s="65">
        <f t="shared" si="0"/>
        <v>1940.2975</v>
      </c>
      <c r="AA20" s="65">
        <f t="shared" si="1"/>
        <v>0</v>
      </c>
      <c r="AB20" s="65">
        <f t="shared" si="2"/>
        <v>0</v>
      </c>
      <c r="AC20" s="65">
        <f t="shared" si="3"/>
        <v>0</v>
      </c>
      <c r="AD20" s="65">
        <f t="shared" si="4"/>
        <v>0</v>
      </c>
      <c r="AE20" s="65">
        <f t="shared" si="7"/>
        <v>582.08925</v>
      </c>
      <c r="AF20" s="65">
        <f t="shared" si="6"/>
        <v>1358.20825</v>
      </c>
      <c r="AG20" s="50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</row>
    <row r="21" spans="1:91" ht="19.5" thickBot="1" thickTop="1">
      <c r="A21" s="27"/>
      <c r="B21" s="28">
        <v>18</v>
      </c>
      <c r="C21" s="20">
        <v>2356</v>
      </c>
      <c r="D21" s="71" t="s">
        <v>23</v>
      </c>
      <c r="E21" s="20">
        <v>1</v>
      </c>
      <c r="F21" s="20" t="s">
        <v>75</v>
      </c>
      <c r="G21" s="47">
        <v>0</v>
      </c>
      <c r="H21" s="48">
        <v>1</v>
      </c>
      <c r="I21" s="48">
        <v>1</v>
      </c>
      <c r="J21" s="48">
        <v>1</v>
      </c>
      <c r="K21" s="47">
        <v>0</v>
      </c>
      <c r="L21" s="47">
        <v>3</v>
      </c>
      <c r="M21" s="48">
        <v>1</v>
      </c>
      <c r="N21" s="48">
        <v>1</v>
      </c>
      <c r="O21" s="48">
        <v>0</v>
      </c>
      <c r="P21" s="48">
        <v>0</v>
      </c>
      <c r="Q21" s="48">
        <v>1</v>
      </c>
      <c r="R21" s="48">
        <v>0</v>
      </c>
      <c r="S21" s="48">
        <v>0</v>
      </c>
      <c r="T21" s="49"/>
      <c r="U21" s="49">
        <f>804+651.04</f>
        <v>1455.04</v>
      </c>
      <c r="V21" s="49">
        <f>3594.4+2500-U21</f>
        <v>4639.36</v>
      </c>
      <c r="W21" s="49"/>
      <c r="X21" s="35"/>
      <c r="Y21" s="35"/>
      <c r="Z21" s="66">
        <f t="shared" si="0"/>
        <v>1958.7146666666665</v>
      </c>
      <c r="AA21" s="66">
        <f t="shared" si="1"/>
        <v>0</v>
      </c>
      <c r="AB21" s="66">
        <f t="shared" si="2"/>
        <v>0</v>
      </c>
      <c r="AC21" s="66">
        <f t="shared" si="3"/>
        <v>0</v>
      </c>
      <c r="AD21" s="66">
        <f t="shared" si="4"/>
        <v>0</v>
      </c>
      <c r="AE21" s="66">
        <f t="shared" si="7"/>
        <v>587.6143999999999</v>
      </c>
      <c r="AF21" s="66">
        <f t="shared" si="6"/>
        <v>1371.1002666666666</v>
      </c>
      <c r="AG21" s="18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</row>
    <row r="22" spans="1:91" s="44" customFormat="1" ht="19.5" thickBot="1" thickTop="1">
      <c r="A22" s="42">
        <v>52</v>
      </c>
      <c r="B22" s="28">
        <v>19</v>
      </c>
      <c r="C22" s="19">
        <v>15298</v>
      </c>
      <c r="D22" s="19" t="s">
        <v>24</v>
      </c>
      <c r="E22" s="19">
        <v>1</v>
      </c>
      <c r="F22" s="18" t="s">
        <v>56</v>
      </c>
      <c r="G22" s="29">
        <v>0</v>
      </c>
      <c r="H22" s="29">
        <v>1</v>
      </c>
      <c r="I22" s="29">
        <v>1</v>
      </c>
      <c r="J22" s="29">
        <v>1</v>
      </c>
      <c r="K22" s="29">
        <v>0</v>
      </c>
      <c r="L22" s="29">
        <v>5</v>
      </c>
      <c r="M22" s="29">
        <v>1</v>
      </c>
      <c r="N22" s="29">
        <v>1</v>
      </c>
      <c r="O22" s="29">
        <v>0</v>
      </c>
      <c r="P22" s="29">
        <v>0</v>
      </c>
      <c r="Q22" s="29">
        <v>1</v>
      </c>
      <c r="R22" s="29">
        <v>0</v>
      </c>
      <c r="S22" s="29">
        <v>0</v>
      </c>
      <c r="T22" s="30">
        <v>13072.36</v>
      </c>
      <c r="U22" s="30"/>
      <c r="V22" s="30">
        <v>3280</v>
      </c>
      <c r="W22" s="30"/>
      <c r="X22" s="31"/>
      <c r="Y22" s="31"/>
      <c r="Z22" s="65">
        <f t="shared" si="0"/>
        <v>1963.236</v>
      </c>
      <c r="AA22" s="65">
        <f t="shared" si="1"/>
        <v>0</v>
      </c>
      <c r="AB22" s="65">
        <f t="shared" si="2"/>
        <v>0</v>
      </c>
      <c r="AC22" s="65">
        <f t="shared" si="3"/>
        <v>0</v>
      </c>
      <c r="AD22" s="65">
        <f t="shared" si="4"/>
        <v>0</v>
      </c>
      <c r="AE22" s="65">
        <f t="shared" si="7"/>
        <v>588.9708</v>
      </c>
      <c r="AF22" s="65">
        <f t="shared" si="6"/>
        <v>1374.2652</v>
      </c>
      <c r="AG22" s="41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</row>
    <row r="23" spans="1:91" ht="22.5" customHeight="1" thickBot="1" thickTop="1">
      <c r="A23" s="27">
        <v>212</v>
      </c>
      <c r="B23" s="28">
        <v>20</v>
      </c>
      <c r="C23" s="20">
        <v>15171</v>
      </c>
      <c r="D23" s="51" t="s">
        <v>24</v>
      </c>
      <c r="E23" s="51">
        <v>1</v>
      </c>
      <c r="F23" s="51" t="s">
        <v>78</v>
      </c>
      <c r="G23" s="48">
        <v>0</v>
      </c>
      <c r="H23" s="48">
        <v>1</v>
      </c>
      <c r="I23" s="48">
        <v>1</v>
      </c>
      <c r="J23" s="48">
        <v>1</v>
      </c>
      <c r="K23" s="23">
        <v>0</v>
      </c>
      <c r="L23" s="23">
        <v>3</v>
      </c>
      <c r="M23" s="23">
        <v>1</v>
      </c>
      <c r="N23" s="48">
        <v>1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52">
        <f>9609.69+510.19</f>
        <v>10119.880000000001</v>
      </c>
      <c r="U23" s="52">
        <v>358.43</v>
      </c>
      <c r="V23" s="52">
        <f>11020-T23-U23</f>
        <v>541.6899999999989</v>
      </c>
      <c r="W23" s="52"/>
      <c r="X23" s="52"/>
      <c r="Y23" s="52"/>
      <c r="Z23" s="66">
        <f t="shared" si="0"/>
        <v>1968.7651666666663</v>
      </c>
      <c r="AA23" s="66">
        <f t="shared" si="1"/>
        <v>0</v>
      </c>
      <c r="AB23" s="66">
        <f t="shared" si="2"/>
        <v>0</v>
      </c>
      <c r="AC23" s="66">
        <f t="shared" si="3"/>
        <v>0</v>
      </c>
      <c r="AD23" s="66">
        <f t="shared" si="4"/>
        <v>0</v>
      </c>
      <c r="AE23" s="66">
        <f t="shared" si="7"/>
        <v>590.6295499999999</v>
      </c>
      <c r="AF23" s="66">
        <f t="shared" si="6"/>
        <v>1378.1356166666665</v>
      </c>
      <c r="AG23" s="18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</row>
    <row r="24" spans="1:91" s="25" customFormat="1" ht="19.5" thickBot="1" thickTop="1">
      <c r="A24" s="21"/>
      <c r="B24" s="28">
        <v>21</v>
      </c>
      <c r="C24" s="20">
        <v>15183</v>
      </c>
      <c r="D24" s="20" t="s">
        <v>25</v>
      </c>
      <c r="E24" s="20">
        <v>1</v>
      </c>
      <c r="F24" s="20" t="s">
        <v>82</v>
      </c>
      <c r="G24" s="28">
        <v>0</v>
      </c>
      <c r="H24" s="33">
        <v>1</v>
      </c>
      <c r="I24" s="33">
        <v>0</v>
      </c>
      <c r="J24" s="33">
        <v>1</v>
      </c>
      <c r="K24" s="28">
        <v>0</v>
      </c>
      <c r="L24" s="28">
        <v>3</v>
      </c>
      <c r="M24" s="33">
        <v>1</v>
      </c>
      <c r="N24" s="33">
        <v>1</v>
      </c>
      <c r="O24" s="33">
        <v>0</v>
      </c>
      <c r="P24" s="33">
        <v>0</v>
      </c>
      <c r="Q24" s="33">
        <v>0</v>
      </c>
      <c r="R24" s="33">
        <v>0</v>
      </c>
      <c r="S24" s="33">
        <v>1</v>
      </c>
      <c r="T24" s="34">
        <f>3502.5+7.4+1885.25+5</f>
        <v>5400.15</v>
      </c>
      <c r="U24" s="34">
        <v>771.36</v>
      </c>
      <c r="V24" s="34">
        <f>4500-1890.25</f>
        <v>2609.75</v>
      </c>
      <c r="W24" s="34"/>
      <c r="X24" s="35"/>
      <c r="Y24" s="35"/>
      <c r="Z24" s="65">
        <f t="shared" si="0"/>
        <v>1988.4936666666665</v>
      </c>
      <c r="AA24" s="65">
        <f t="shared" si="1"/>
        <v>0</v>
      </c>
      <c r="AB24" s="65">
        <f t="shared" si="2"/>
        <v>0</v>
      </c>
      <c r="AC24" s="65">
        <f t="shared" si="3"/>
        <v>0</v>
      </c>
      <c r="AD24" s="65">
        <f t="shared" si="4"/>
        <v>596.5481</v>
      </c>
      <c r="AE24" s="65">
        <f t="shared" si="7"/>
        <v>0</v>
      </c>
      <c r="AF24" s="65">
        <f t="shared" si="6"/>
        <v>1391.9455666666665</v>
      </c>
      <c r="AG24" s="22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</row>
    <row r="25" spans="1:91" ht="22.5" customHeight="1" thickBot="1" thickTop="1">
      <c r="A25" s="27">
        <v>224</v>
      </c>
      <c r="B25" s="28">
        <v>22</v>
      </c>
      <c r="C25" s="19">
        <v>15262</v>
      </c>
      <c r="D25" s="19" t="s">
        <v>25</v>
      </c>
      <c r="E25" s="19">
        <v>1</v>
      </c>
      <c r="F25" s="19" t="s">
        <v>86</v>
      </c>
      <c r="G25" s="28">
        <v>0</v>
      </c>
      <c r="H25" s="28">
        <v>1</v>
      </c>
      <c r="I25" s="19">
        <v>0</v>
      </c>
      <c r="J25" s="28">
        <v>1</v>
      </c>
      <c r="K25" s="18">
        <v>0</v>
      </c>
      <c r="L25" s="18">
        <v>3</v>
      </c>
      <c r="M25" s="18">
        <v>1</v>
      </c>
      <c r="N25" s="28">
        <v>1</v>
      </c>
      <c r="O25" s="28">
        <v>0</v>
      </c>
      <c r="P25" s="28">
        <v>0</v>
      </c>
      <c r="Q25" s="28">
        <v>0</v>
      </c>
      <c r="R25" s="28">
        <v>1</v>
      </c>
      <c r="S25" s="28">
        <v>0</v>
      </c>
      <c r="T25" s="30">
        <v>9299.49</v>
      </c>
      <c r="U25" s="30"/>
      <c r="V25" s="30"/>
      <c r="W25" s="30"/>
      <c r="X25" s="30"/>
      <c r="Y25" s="30"/>
      <c r="Z25" s="65">
        <f t="shared" si="0"/>
        <v>1549.915</v>
      </c>
      <c r="AA25" s="65">
        <f t="shared" si="1"/>
        <v>0</v>
      </c>
      <c r="AB25" s="65">
        <f t="shared" si="2"/>
        <v>0</v>
      </c>
      <c r="AC25" s="65">
        <f t="shared" si="3"/>
        <v>154.9915</v>
      </c>
      <c r="AD25" s="65">
        <f t="shared" si="4"/>
        <v>0</v>
      </c>
      <c r="AE25" s="65">
        <f t="shared" si="7"/>
        <v>0</v>
      </c>
      <c r="AF25" s="65">
        <f t="shared" si="6"/>
        <v>1394.9234999999999</v>
      </c>
      <c r="AG25" s="18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</row>
    <row r="26" spans="1:91" s="39" customFormat="1" ht="19.5" thickBot="1" thickTop="1">
      <c r="A26" s="37"/>
      <c r="B26" s="28">
        <v>23</v>
      </c>
      <c r="C26" s="20">
        <v>15163</v>
      </c>
      <c r="D26" s="20" t="s">
        <v>25</v>
      </c>
      <c r="E26" s="20">
        <v>1</v>
      </c>
      <c r="F26" s="20" t="s">
        <v>71</v>
      </c>
      <c r="G26" s="28">
        <v>0</v>
      </c>
      <c r="H26" s="33">
        <v>1</v>
      </c>
      <c r="I26" s="33">
        <v>0</v>
      </c>
      <c r="J26" s="33">
        <v>1</v>
      </c>
      <c r="K26" s="28">
        <v>0</v>
      </c>
      <c r="L26" s="28">
        <v>5</v>
      </c>
      <c r="M26" s="33">
        <v>1</v>
      </c>
      <c r="N26" s="33">
        <v>1</v>
      </c>
      <c r="O26" s="33">
        <v>0</v>
      </c>
      <c r="P26" s="33">
        <v>0</v>
      </c>
      <c r="Q26" s="33">
        <v>1</v>
      </c>
      <c r="R26" s="33">
        <v>0</v>
      </c>
      <c r="S26" s="33">
        <v>0</v>
      </c>
      <c r="T26" s="34">
        <v>4559.51</v>
      </c>
      <c r="U26" s="34"/>
      <c r="V26" s="34">
        <f>7100+2500-T26</f>
        <v>5040.49</v>
      </c>
      <c r="W26" s="34"/>
      <c r="X26" s="34"/>
      <c r="Y26" s="34"/>
      <c r="Z26" s="65">
        <f t="shared" si="0"/>
        <v>1464.049</v>
      </c>
      <c r="AA26" s="65">
        <f t="shared" si="1"/>
        <v>0</v>
      </c>
      <c r="AB26" s="65">
        <f t="shared" si="2"/>
        <v>0</v>
      </c>
      <c r="AC26" s="65">
        <f t="shared" si="3"/>
        <v>0</v>
      </c>
      <c r="AD26" s="65">
        <f t="shared" si="4"/>
        <v>0</v>
      </c>
      <c r="AE26" s="65">
        <f t="shared" si="7"/>
        <v>0</v>
      </c>
      <c r="AF26" s="65">
        <f t="shared" si="6"/>
        <v>1464.049</v>
      </c>
      <c r="AG26" s="1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</row>
    <row r="27" spans="1:91" ht="25.5" customHeight="1" thickBot="1" thickTop="1">
      <c r="A27" s="27">
        <v>217</v>
      </c>
      <c r="B27" s="28">
        <v>24</v>
      </c>
      <c r="C27" s="20">
        <v>15180</v>
      </c>
      <c r="D27" s="20" t="s">
        <v>24</v>
      </c>
      <c r="E27" s="20">
        <v>1</v>
      </c>
      <c r="F27" s="20" t="s">
        <v>107</v>
      </c>
      <c r="G27" s="33">
        <v>0</v>
      </c>
      <c r="H27" s="33">
        <v>1</v>
      </c>
      <c r="I27" s="33">
        <v>0</v>
      </c>
      <c r="J27" s="33">
        <v>1</v>
      </c>
      <c r="K27" s="18">
        <v>0</v>
      </c>
      <c r="L27" s="18">
        <v>5</v>
      </c>
      <c r="M27" s="18">
        <v>1</v>
      </c>
      <c r="N27" s="33">
        <v>1</v>
      </c>
      <c r="O27" s="33">
        <v>0</v>
      </c>
      <c r="P27" s="33">
        <v>0</v>
      </c>
      <c r="Q27" s="33">
        <v>1</v>
      </c>
      <c r="R27" s="33">
        <v>0</v>
      </c>
      <c r="S27" s="33">
        <v>0</v>
      </c>
      <c r="T27" s="30"/>
      <c r="U27" s="30">
        <f>384+3172.35</f>
        <v>3556.35</v>
      </c>
      <c r="V27" s="30">
        <f>4800-384</f>
        <v>4416</v>
      </c>
      <c r="W27" s="30"/>
      <c r="X27" s="30"/>
      <c r="Y27" s="30"/>
      <c r="Z27" s="65">
        <f t="shared" si="0"/>
        <v>1487.7795</v>
      </c>
      <c r="AA27" s="65">
        <f t="shared" si="1"/>
        <v>0</v>
      </c>
      <c r="AB27" s="65">
        <f t="shared" si="2"/>
        <v>0</v>
      </c>
      <c r="AC27" s="65">
        <f t="shared" si="3"/>
        <v>0</v>
      </c>
      <c r="AD27" s="65">
        <f t="shared" si="4"/>
        <v>0</v>
      </c>
      <c r="AE27" s="65">
        <f t="shared" si="7"/>
        <v>0</v>
      </c>
      <c r="AF27" s="65">
        <f t="shared" si="6"/>
        <v>1487.7795</v>
      </c>
      <c r="AG27" s="41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</row>
    <row r="28" spans="1:91" ht="19.5" thickBot="1" thickTop="1">
      <c r="A28" s="27"/>
      <c r="B28" s="28">
        <v>25</v>
      </c>
      <c r="C28" s="20">
        <v>15162</v>
      </c>
      <c r="D28" s="20" t="s">
        <v>24</v>
      </c>
      <c r="E28" s="20">
        <v>1</v>
      </c>
      <c r="F28" s="20" t="s">
        <v>89</v>
      </c>
      <c r="G28" s="33">
        <v>0</v>
      </c>
      <c r="H28" s="33">
        <v>1</v>
      </c>
      <c r="I28" s="20">
        <v>1</v>
      </c>
      <c r="J28" s="33">
        <v>1</v>
      </c>
      <c r="K28" s="18">
        <v>0</v>
      </c>
      <c r="L28" s="18">
        <v>5</v>
      </c>
      <c r="M28" s="18">
        <v>1</v>
      </c>
      <c r="N28" s="33">
        <v>1</v>
      </c>
      <c r="O28" s="20">
        <v>0</v>
      </c>
      <c r="P28" s="33">
        <v>0</v>
      </c>
      <c r="Q28" s="33">
        <v>1</v>
      </c>
      <c r="R28" s="33">
        <v>0</v>
      </c>
      <c r="S28" s="33">
        <v>0</v>
      </c>
      <c r="T28" s="30">
        <f>9564.02+1434.61</f>
        <v>10998.630000000001</v>
      </c>
      <c r="U28" s="30">
        <f>1046.1+1037</f>
        <v>2083.1</v>
      </c>
      <c r="V28" s="30">
        <f>14775.47+2500-T28-U28</f>
        <v>4193.74</v>
      </c>
      <c r="W28" s="30"/>
      <c r="X28" s="62"/>
      <c r="Y28" s="62"/>
      <c r="Z28" s="65">
        <f t="shared" si="0"/>
        <v>2292.7380000000003</v>
      </c>
      <c r="AA28" s="65">
        <f t="shared" si="1"/>
        <v>0</v>
      </c>
      <c r="AB28" s="65">
        <f t="shared" si="2"/>
        <v>0</v>
      </c>
      <c r="AC28" s="65">
        <f t="shared" si="3"/>
        <v>0</v>
      </c>
      <c r="AD28" s="65">
        <f t="shared" si="4"/>
        <v>0</v>
      </c>
      <c r="AE28" s="65">
        <f t="shared" si="7"/>
        <v>687.8214</v>
      </c>
      <c r="AF28" s="65">
        <f t="shared" si="6"/>
        <v>1604.9166000000002</v>
      </c>
      <c r="AG28" s="18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</row>
    <row r="29" spans="1:91" ht="19.5" thickBot="1" thickTop="1">
      <c r="A29" s="27"/>
      <c r="B29" s="28">
        <v>26</v>
      </c>
      <c r="C29" s="20">
        <v>15278</v>
      </c>
      <c r="D29" s="20" t="s">
        <v>24</v>
      </c>
      <c r="E29" s="20">
        <v>1</v>
      </c>
      <c r="F29" s="20" t="s">
        <v>88</v>
      </c>
      <c r="G29" s="33">
        <v>0</v>
      </c>
      <c r="H29" s="33">
        <v>1</v>
      </c>
      <c r="I29" s="33">
        <v>1</v>
      </c>
      <c r="J29" s="33">
        <v>1</v>
      </c>
      <c r="K29" s="18">
        <v>0</v>
      </c>
      <c r="L29" s="18">
        <v>6</v>
      </c>
      <c r="M29" s="18">
        <v>1</v>
      </c>
      <c r="N29" s="33">
        <v>1</v>
      </c>
      <c r="O29" s="20">
        <v>0</v>
      </c>
      <c r="P29" s="33">
        <v>1</v>
      </c>
      <c r="Q29" s="33">
        <v>0</v>
      </c>
      <c r="R29" s="33">
        <v>0</v>
      </c>
      <c r="S29" s="33">
        <v>0</v>
      </c>
      <c r="T29" s="30">
        <v>1051.5</v>
      </c>
      <c r="U29" s="30">
        <v>2703.18</v>
      </c>
      <c r="V29" s="30">
        <f>11124+4320-T29-U29</f>
        <v>11689.32</v>
      </c>
      <c r="W29" s="30"/>
      <c r="X29" s="30"/>
      <c r="Y29" s="30"/>
      <c r="Z29" s="65">
        <f t="shared" si="0"/>
        <v>2418.7954999999997</v>
      </c>
      <c r="AA29" s="65">
        <f t="shared" si="1"/>
        <v>0</v>
      </c>
      <c r="AB29" s="65">
        <f t="shared" si="2"/>
        <v>0</v>
      </c>
      <c r="AC29" s="65">
        <f t="shared" si="3"/>
        <v>0</v>
      </c>
      <c r="AD29" s="65">
        <f t="shared" si="4"/>
        <v>0</v>
      </c>
      <c r="AE29" s="65">
        <f t="shared" si="7"/>
        <v>725.6386499999999</v>
      </c>
      <c r="AF29" s="65">
        <f t="shared" si="6"/>
        <v>1693.1568499999998</v>
      </c>
      <c r="AG29" s="18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</row>
    <row r="30" spans="1:91" ht="22.5" customHeight="1" thickBot="1" thickTop="1">
      <c r="A30" s="27">
        <v>25</v>
      </c>
      <c r="B30" s="28">
        <v>27</v>
      </c>
      <c r="C30" s="20">
        <v>15202</v>
      </c>
      <c r="D30" s="20" t="s">
        <v>25</v>
      </c>
      <c r="E30" s="20">
        <v>1</v>
      </c>
      <c r="F30" s="20" t="s">
        <v>93</v>
      </c>
      <c r="G30" s="33">
        <v>0</v>
      </c>
      <c r="H30" s="33">
        <v>1</v>
      </c>
      <c r="I30" s="19">
        <v>1</v>
      </c>
      <c r="J30" s="33">
        <v>1</v>
      </c>
      <c r="K30" s="18">
        <v>0</v>
      </c>
      <c r="L30" s="18">
        <v>4</v>
      </c>
      <c r="M30" s="28">
        <v>1</v>
      </c>
      <c r="N30" s="33">
        <v>1</v>
      </c>
      <c r="O30" s="33">
        <v>0</v>
      </c>
      <c r="P30" s="33">
        <v>0</v>
      </c>
      <c r="Q30" s="20">
        <v>0</v>
      </c>
      <c r="R30" s="33">
        <v>0</v>
      </c>
      <c r="S30" s="33">
        <v>0</v>
      </c>
      <c r="T30" s="30">
        <f>4954.52+4.42</f>
        <v>4958.9400000000005</v>
      </c>
      <c r="U30" s="30"/>
      <c r="V30" s="30">
        <f>8880+3500-T30</f>
        <v>7421.0599999999995</v>
      </c>
      <c r="W30" s="30"/>
      <c r="X30" s="31"/>
      <c r="Y30" s="31"/>
      <c r="Z30" s="65">
        <f t="shared" si="0"/>
        <v>2475.1324999999997</v>
      </c>
      <c r="AA30" s="65">
        <f t="shared" si="1"/>
        <v>0</v>
      </c>
      <c r="AB30" s="65">
        <f t="shared" si="2"/>
        <v>0</v>
      </c>
      <c r="AC30" s="65">
        <f t="shared" si="3"/>
        <v>0</v>
      </c>
      <c r="AD30" s="65">
        <f t="shared" si="4"/>
        <v>0</v>
      </c>
      <c r="AE30" s="65">
        <f t="shared" si="7"/>
        <v>742.5397499999999</v>
      </c>
      <c r="AF30" s="65">
        <f t="shared" si="6"/>
        <v>1732.5927499999998</v>
      </c>
      <c r="AG30" s="18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</row>
    <row r="31" spans="1:91" s="25" customFormat="1" ht="19.5" thickBot="1" thickTop="1">
      <c r="A31" s="72"/>
      <c r="B31" s="28">
        <v>28</v>
      </c>
      <c r="C31" s="20">
        <v>15161</v>
      </c>
      <c r="D31" s="20" t="s">
        <v>24</v>
      </c>
      <c r="E31" s="20">
        <v>1</v>
      </c>
      <c r="F31" s="20" t="s">
        <v>70</v>
      </c>
      <c r="G31" s="28">
        <v>0</v>
      </c>
      <c r="H31" s="33">
        <v>1</v>
      </c>
      <c r="I31" s="33">
        <v>0</v>
      </c>
      <c r="J31" s="33">
        <v>1</v>
      </c>
      <c r="K31" s="28">
        <v>0</v>
      </c>
      <c r="L31" s="28">
        <v>6</v>
      </c>
      <c r="M31" s="33">
        <v>1</v>
      </c>
      <c r="N31" s="33">
        <v>1</v>
      </c>
      <c r="O31" s="33">
        <v>1</v>
      </c>
      <c r="P31" s="33">
        <v>1</v>
      </c>
      <c r="Q31" s="33">
        <v>0</v>
      </c>
      <c r="R31" s="33">
        <v>0</v>
      </c>
      <c r="S31" s="33">
        <v>0</v>
      </c>
      <c r="T31" s="34"/>
      <c r="U31" s="34">
        <f>3497.02+6508.97</f>
        <v>10005.99</v>
      </c>
      <c r="V31" s="34">
        <f>9920-3497.02</f>
        <v>6422.98</v>
      </c>
      <c r="W31" s="34"/>
      <c r="X31" s="35"/>
      <c r="Y31" s="35"/>
      <c r="Z31" s="65">
        <f t="shared" si="0"/>
        <v>2488.011916666667</v>
      </c>
      <c r="AA31" s="65">
        <f t="shared" si="1"/>
        <v>746.403575</v>
      </c>
      <c r="AB31" s="65">
        <f t="shared" si="2"/>
        <v>0</v>
      </c>
      <c r="AC31" s="65">
        <f t="shared" si="3"/>
        <v>0</v>
      </c>
      <c r="AD31" s="65">
        <f t="shared" si="4"/>
        <v>0</v>
      </c>
      <c r="AE31" s="65">
        <f t="shared" si="7"/>
        <v>0</v>
      </c>
      <c r="AF31" s="65">
        <f t="shared" si="6"/>
        <v>1741.6083416666668</v>
      </c>
      <c r="AG31" s="6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</row>
    <row r="32" spans="1:91" ht="22.5" customHeight="1" thickBot="1" thickTop="1">
      <c r="A32" s="27"/>
      <c r="B32" s="28">
        <v>29</v>
      </c>
      <c r="C32" s="19">
        <v>15282</v>
      </c>
      <c r="D32" s="19" t="s">
        <v>25</v>
      </c>
      <c r="E32" s="19">
        <v>1</v>
      </c>
      <c r="F32" s="18" t="s">
        <v>110</v>
      </c>
      <c r="G32" s="18">
        <v>0</v>
      </c>
      <c r="H32" s="18">
        <v>1</v>
      </c>
      <c r="I32" s="18">
        <v>0</v>
      </c>
      <c r="J32" s="18">
        <v>1</v>
      </c>
      <c r="K32" s="18">
        <v>1</v>
      </c>
      <c r="L32" s="18">
        <v>2</v>
      </c>
      <c r="M32" s="18">
        <v>1</v>
      </c>
      <c r="N32" s="18">
        <v>1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30">
        <v>9069.78</v>
      </c>
      <c r="U32" s="30"/>
      <c r="V32" s="30"/>
      <c r="W32" s="30"/>
      <c r="X32" s="30"/>
      <c r="Y32" s="30"/>
      <c r="Z32" s="65">
        <f t="shared" si="0"/>
        <v>2267.445</v>
      </c>
      <c r="AA32" s="65">
        <f t="shared" si="1"/>
        <v>0</v>
      </c>
      <c r="AB32" s="65">
        <f t="shared" si="2"/>
        <v>453.48900000000003</v>
      </c>
      <c r="AC32" s="65">
        <f t="shared" si="3"/>
        <v>0</v>
      </c>
      <c r="AD32" s="65">
        <f t="shared" si="4"/>
        <v>0</v>
      </c>
      <c r="AE32" s="65">
        <f t="shared" si="7"/>
        <v>0</v>
      </c>
      <c r="AF32" s="65">
        <f t="shared" si="6"/>
        <v>1813.9560000000001</v>
      </c>
      <c r="AG32" s="41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</row>
    <row r="33" spans="1:91" ht="22.5" customHeight="1" thickBot="1" thickTop="1">
      <c r="A33" s="27">
        <v>197</v>
      </c>
      <c r="B33" s="28">
        <v>30</v>
      </c>
      <c r="C33" s="19">
        <v>15289</v>
      </c>
      <c r="D33" s="19" t="s">
        <v>24</v>
      </c>
      <c r="E33" s="19">
        <v>1</v>
      </c>
      <c r="F33" s="18" t="s">
        <v>43</v>
      </c>
      <c r="G33" s="18">
        <v>0</v>
      </c>
      <c r="H33" s="18">
        <v>1</v>
      </c>
      <c r="I33" s="18">
        <v>1</v>
      </c>
      <c r="J33" s="18">
        <v>0</v>
      </c>
      <c r="K33" s="18">
        <v>0</v>
      </c>
      <c r="L33" s="18">
        <v>3</v>
      </c>
      <c r="M33" s="18">
        <v>1</v>
      </c>
      <c r="N33" s="18">
        <v>1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30">
        <f>1586.28+600</f>
        <v>2186.2799999999997</v>
      </c>
      <c r="U33" s="30"/>
      <c r="V33" s="30">
        <f>6450+2500-T33</f>
        <v>6763.72</v>
      </c>
      <c r="W33" s="30"/>
      <c r="X33" s="30"/>
      <c r="Y33" s="30"/>
      <c r="Z33" s="65">
        <f t="shared" si="0"/>
        <v>2618.9533333333334</v>
      </c>
      <c r="AA33" s="65">
        <f t="shared" si="1"/>
        <v>0</v>
      </c>
      <c r="AB33" s="65">
        <f t="shared" si="2"/>
        <v>0</v>
      </c>
      <c r="AC33" s="65">
        <f t="shared" si="3"/>
        <v>0</v>
      </c>
      <c r="AD33" s="65">
        <f t="shared" si="4"/>
        <v>0</v>
      </c>
      <c r="AE33" s="65">
        <f t="shared" si="7"/>
        <v>785.686</v>
      </c>
      <c r="AF33" s="65">
        <f t="shared" si="6"/>
        <v>1833.2673333333332</v>
      </c>
      <c r="AG33" s="18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</row>
    <row r="34" spans="1:91" ht="26.25" customHeight="1" thickBot="1" thickTop="1">
      <c r="A34" s="27">
        <v>35</v>
      </c>
      <c r="B34" s="28">
        <v>31</v>
      </c>
      <c r="C34" s="20">
        <v>15291</v>
      </c>
      <c r="D34" s="20" t="s">
        <v>24</v>
      </c>
      <c r="E34" s="20">
        <v>1</v>
      </c>
      <c r="F34" s="20" t="s">
        <v>40</v>
      </c>
      <c r="G34" s="28">
        <v>0</v>
      </c>
      <c r="H34" s="33">
        <v>1</v>
      </c>
      <c r="I34" s="33">
        <v>0</v>
      </c>
      <c r="J34" s="33">
        <v>1</v>
      </c>
      <c r="K34" s="28">
        <v>0</v>
      </c>
      <c r="L34" s="28">
        <v>4</v>
      </c>
      <c r="M34" s="33">
        <v>1</v>
      </c>
      <c r="N34" s="33">
        <v>1</v>
      </c>
      <c r="O34" s="33">
        <v>0</v>
      </c>
      <c r="P34" s="33">
        <v>0</v>
      </c>
      <c r="Q34" s="33">
        <v>0</v>
      </c>
      <c r="R34" s="33">
        <v>0</v>
      </c>
      <c r="S34" s="33">
        <v>1</v>
      </c>
      <c r="T34" s="34"/>
      <c r="U34" s="34">
        <v>347.68</v>
      </c>
      <c r="V34" s="34">
        <f>6750+3950-U34</f>
        <v>10352.32</v>
      </c>
      <c r="W34" s="34"/>
      <c r="X34" s="34"/>
      <c r="Y34" s="34"/>
      <c r="Z34" s="65">
        <f t="shared" si="0"/>
        <v>2661.962</v>
      </c>
      <c r="AA34" s="65">
        <f t="shared" si="1"/>
        <v>0</v>
      </c>
      <c r="AB34" s="65">
        <f t="shared" si="2"/>
        <v>0</v>
      </c>
      <c r="AC34" s="65">
        <f t="shared" si="3"/>
        <v>0</v>
      </c>
      <c r="AD34" s="65">
        <f t="shared" si="4"/>
        <v>798.5885999999999</v>
      </c>
      <c r="AE34" s="65">
        <f t="shared" si="7"/>
        <v>0</v>
      </c>
      <c r="AF34" s="65">
        <f t="shared" si="6"/>
        <v>1863.3734</v>
      </c>
      <c r="AG34" s="61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</row>
    <row r="35" spans="1:91" ht="22.5" customHeight="1" thickBot="1" thickTop="1">
      <c r="A35" s="45">
        <v>49</v>
      </c>
      <c r="B35" s="28">
        <v>32</v>
      </c>
      <c r="C35" s="19">
        <v>15172</v>
      </c>
      <c r="D35" s="19" t="s">
        <v>25</v>
      </c>
      <c r="E35" s="19">
        <v>1</v>
      </c>
      <c r="F35" s="18" t="s">
        <v>59</v>
      </c>
      <c r="G35" s="18">
        <v>0</v>
      </c>
      <c r="H35" s="18">
        <v>1</v>
      </c>
      <c r="I35" s="18">
        <v>1</v>
      </c>
      <c r="J35" s="18">
        <v>1</v>
      </c>
      <c r="K35" s="18">
        <v>0</v>
      </c>
      <c r="L35" s="18">
        <v>3</v>
      </c>
      <c r="M35" s="18">
        <v>1</v>
      </c>
      <c r="N35" s="18">
        <v>1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30"/>
      <c r="U35" s="30"/>
      <c r="V35" s="30">
        <v>8000</v>
      </c>
      <c r="W35" s="30"/>
      <c r="X35" s="30"/>
      <c r="Y35" s="30"/>
      <c r="Z35" s="65">
        <f aca="true" t="shared" si="8" ref="Z35:Z66">((T35*50%+U35*85%+V35)/L35)+W35</f>
        <v>2666.6666666666665</v>
      </c>
      <c r="AA35" s="65">
        <f aca="true" t="shared" si="9" ref="AA35:AA66">IF(O35=1,Z35*30%,0)</f>
        <v>0</v>
      </c>
      <c r="AB35" s="65">
        <f aca="true" t="shared" si="10" ref="AB35:AB66">IF(K35=1,Z35*20%,0)</f>
        <v>0</v>
      </c>
      <c r="AC35" s="65">
        <f aca="true" t="shared" si="11" ref="AC35:AC66">IF(R35=1,Z35*10%,0)</f>
        <v>0</v>
      </c>
      <c r="AD35" s="65">
        <f aca="true" t="shared" si="12" ref="AD35:AD66">IF(S35=1,Z35*30%,0)</f>
        <v>0</v>
      </c>
      <c r="AE35" s="65">
        <f t="shared" si="7"/>
        <v>799.9999999999999</v>
      </c>
      <c r="AF35" s="65">
        <f aca="true" t="shared" si="13" ref="AF35:AF66">Z35-AA35-AB35-AC35-AD35-AE35</f>
        <v>1866.6666666666665</v>
      </c>
      <c r="AG35" s="18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</row>
    <row r="36" spans="1:91" ht="22.5" customHeight="1" thickBot="1" thickTop="1">
      <c r="A36" s="27">
        <v>97</v>
      </c>
      <c r="B36" s="28">
        <v>33</v>
      </c>
      <c r="C36" s="20">
        <v>15297</v>
      </c>
      <c r="D36" s="71" t="s">
        <v>24</v>
      </c>
      <c r="E36" s="20">
        <v>1</v>
      </c>
      <c r="F36" s="20" t="s">
        <v>34</v>
      </c>
      <c r="G36" s="33">
        <v>0</v>
      </c>
      <c r="H36" s="33">
        <v>1</v>
      </c>
      <c r="I36" s="19">
        <v>1</v>
      </c>
      <c r="J36" s="33">
        <v>1</v>
      </c>
      <c r="K36" s="18">
        <v>0</v>
      </c>
      <c r="L36" s="18">
        <v>4</v>
      </c>
      <c r="M36" s="18">
        <v>1</v>
      </c>
      <c r="N36" s="33">
        <v>1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0">
        <f>7873.87+12434.45</f>
        <v>20308.32</v>
      </c>
      <c r="U36" s="30"/>
      <c r="V36" s="30">
        <f>8520-7873.87</f>
        <v>646.1300000000001</v>
      </c>
      <c r="W36" s="30"/>
      <c r="X36" s="62"/>
      <c r="Y36" s="62"/>
      <c r="Z36" s="65">
        <f t="shared" si="8"/>
        <v>2700.0725</v>
      </c>
      <c r="AA36" s="65">
        <f t="shared" si="9"/>
        <v>0</v>
      </c>
      <c r="AB36" s="65">
        <f t="shared" si="10"/>
        <v>0</v>
      </c>
      <c r="AC36" s="65">
        <f t="shared" si="11"/>
        <v>0</v>
      </c>
      <c r="AD36" s="65">
        <f t="shared" si="12"/>
        <v>0</v>
      </c>
      <c r="AE36" s="65">
        <f t="shared" si="7"/>
        <v>810.02175</v>
      </c>
      <c r="AF36" s="65">
        <f t="shared" si="13"/>
        <v>1890.0507500000003</v>
      </c>
      <c r="AG36" s="41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</row>
    <row r="37" spans="1:91" ht="22.5" customHeight="1" thickBot="1" thickTop="1">
      <c r="A37" s="27">
        <v>147</v>
      </c>
      <c r="B37" s="28">
        <v>34</v>
      </c>
      <c r="C37" s="19">
        <v>2351</v>
      </c>
      <c r="D37" s="55" t="s">
        <v>23</v>
      </c>
      <c r="E37" s="19">
        <v>1</v>
      </c>
      <c r="F37" s="18" t="s">
        <v>44</v>
      </c>
      <c r="G37" s="18">
        <v>0</v>
      </c>
      <c r="H37" s="18">
        <v>1</v>
      </c>
      <c r="I37" s="18">
        <v>1</v>
      </c>
      <c r="J37" s="18">
        <v>1</v>
      </c>
      <c r="K37" s="18">
        <v>0</v>
      </c>
      <c r="L37" s="18">
        <v>3</v>
      </c>
      <c r="M37" s="18">
        <v>1</v>
      </c>
      <c r="N37" s="18">
        <v>1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30">
        <v>16203.23</v>
      </c>
      <c r="U37" s="30"/>
      <c r="V37" s="30"/>
      <c r="W37" s="30"/>
      <c r="X37" s="30"/>
      <c r="Y37" s="30"/>
      <c r="Z37" s="65">
        <f t="shared" si="8"/>
        <v>2700.5383333333334</v>
      </c>
      <c r="AA37" s="65">
        <f t="shared" si="9"/>
        <v>0</v>
      </c>
      <c r="AB37" s="65">
        <f t="shared" si="10"/>
        <v>0</v>
      </c>
      <c r="AC37" s="65">
        <f t="shared" si="11"/>
        <v>0</v>
      </c>
      <c r="AD37" s="65">
        <f t="shared" si="12"/>
        <v>0</v>
      </c>
      <c r="AE37" s="65">
        <f t="shared" si="7"/>
        <v>810.1615</v>
      </c>
      <c r="AF37" s="65">
        <f t="shared" si="13"/>
        <v>1890.3768333333333</v>
      </c>
      <c r="AG37" s="18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</row>
    <row r="38" spans="1:91" ht="35.25" customHeight="1" thickBot="1" thickTop="1">
      <c r="A38" s="27"/>
      <c r="B38" s="28">
        <v>35</v>
      </c>
      <c r="C38" s="19">
        <v>15157</v>
      </c>
      <c r="D38" s="19" t="s">
        <v>24</v>
      </c>
      <c r="E38" s="19">
        <v>1</v>
      </c>
      <c r="F38" s="18" t="s">
        <v>48</v>
      </c>
      <c r="G38" s="18">
        <v>0</v>
      </c>
      <c r="H38" s="18">
        <v>1</v>
      </c>
      <c r="I38" s="18">
        <v>1</v>
      </c>
      <c r="J38" s="18">
        <v>1</v>
      </c>
      <c r="K38" s="18">
        <v>0</v>
      </c>
      <c r="L38" s="18">
        <v>4</v>
      </c>
      <c r="M38" s="18">
        <v>1</v>
      </c>
      <c r="N38" s="18">
        <v>1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30"/>
      <c r="U38" s="30"/>
      <c r="V38" s="30">
        <f>8439+2500</f>
        <v>10939</v>
      </c>
      <c r="W38" s="30"/>
      <c r="X38" s="30"/>
      <c r="Y38" s="30"/>
      <c r="Z38" s="65">
        <f t="shared" si="8"/>
        <v>2734.75</v>
      </c>
      <c r="AA38" s="65">
        <f t="shared" si="9"/>
        <v>0</v>
      </c>
      <c r="AB38" s="65">
        <f t="shared" si="10"/>
        <v>0</v>
      </c>
      <c r="AC38" s="65">
        <f t="shared" si="11"/>
        <v>0</v>
      </c>
      <c r="AD38" s="65">
        <f t="shared" si="12"/>
        <v>0</v>
      </c>
      <c r="AE38" s="65">
        <f t="shared" si="7"/>
        <v>820.425</v>
      </c>
      <c r="AF38" s="65">
        <f t="shared" si="13"/>
        <v>1914.325</v>
      </c>
      <c r="AG38" s="18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</row>
    <row r="39" spans="1:91" ht="19.5" thickBot="1" thickTop="1">
      <c r="A39" s="27"/>
      <c r="B39" s="28">
        <v>36</v>
      </c>
      <c r="C39" s="20">
        <v>15224</v>
      </c>
      <c r="D39" s="20" t="s">
        <v>24</v>
      </c>
      <c r="E39" s="20">
        <v>1</v>
      </c>
      <c r="F39" s="20" t="s">
        <v>95</v>
      </c>
      <c r="G39" s="28">
        <v>0</v>
      </c>
      <c r="H39" s="33">
        <v>1</v>
      </c>
      <c r="I39" s="33">
        <v>0</v>
      </c>
      <c r="J39" s="33">
        <v>1</v>
      </c>
      <c r="K39" s="28">
        <v>0</v>
      </c>
      <c r="L39" s="28">
        <v>4</v>
      </c>
      <c r="M39" s="33">
        <v>1</v>
      </c>
      <c r="N39" s="33">
        <v>1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4">
        <f>12018.25+1099.55</f>
        <v>13117.8</v>
      </c>
      <c r="U39" s="34"/>
      <c r="V39" s="34">
        <f>2500-1099.55</f>
        <v>1400.45</v>
      </c>
      <c r="W39" s="34"/>
      <c r="X39" s="34"/>
      <c r="Y39" s="34"/>
      <c r="Z39" s="65">
        <f t="shared" si="8"/>
        <v>1989.8374999999999</v>
      </c>
      <c r="AA39" s="65">
        <f t="shared" si="9"/>
        <v>0</v>
      </c>
      <c r="AB39" s="65">
        <f t="shared" si="10"/>
        <v>0</v>
      </c>
      <c r="AC39" s="65">
        <f t="shared" si="11"/>
        <v>0</v>
      </c>
      <c r="AD39" s="65">
        <f t="shared" si="12"/>
        <v>0</v>
      </c>
      <c r="AE39" s="65">
        <f t="shared" si="7"/>
        <v>0</v>
      </c>
      <c r="AF39" s="65">
        <f t="shared" si="13"/>
        <v>1989.8374999999999</v>
      </c>
      <c r="AG39" s="18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</row>
    <row r="40" spans="1:91" ht="22.5" customHeight="1" thickBot="1" thickTop="1">
      <c r="A40" s="27">
        <v>28</v>
      </c>
      <c r="B40" s="28">
        <v>37</v>
      </c>
      <c r="C40" s="20">
        <v>15270</v>
      </c>
      <c r="D40" s="20" t="s">
        <v>24</v>
      </c>
      <c r="E40" s="20">
        <v>1</v>
      </c>
      <c r="F40" s="20" t="s">
        <v>33</v>
      </c>
      <c r="G40" s="33">
        <v>0</v>
      </c>
      <c r="H40" s="33">
        <v>1</v>
      </c>
      <c r="I40" s="19">
        <v>0</v>
      </c>
      <c r="J40" s="33">
        <v>1</v>
      </c>
      <c r="K40" s="18">
        <v>0</v>
      </c>
      <c r="L40" s="18">
        <v>6</v>
      </c>
      <c r="M40" s="18">
        <v>1</v>
      </c>
      <c r="N40" s="33">
        <v>1</v>
      </c>
      <c r="O40" s="33">
        <v>0</v>
      </c>
      <c r="P40" s="33">
        <v>1</v>
      </c>
      <c r="Q40" s="33">
        <v>0</v>
      </c>
      <c r="R40" s="33">
        <v>0</v>
      </c>
      <c r="S40" s="33">
        <v>0</v>
      </c>
      <c r="T40" s="30"/>
      <c r="U40" s="30"/>
      <c r="V40" s="30">
        <f>8060+4037.69</f>
        <v>12097.69</v>
      </c>
      <c r="W40" s="30"/>
      <c r="X40" s="30"/>
      <c r="Y40" s="30"/>
      <c r="Z40" s="65">
        <f t="shared" si="8"/>
        <v>2016.2816666666668</v>
      </c>
      <c r="AA40" s="65">
        <f t="shared" si="9"/>
        <v>0</v>
      </c>
      <c r="AB40" s="65">
        <f t="shared" si="10"/>
        <v>0</v>
      </c>
      <c r="AC40" s="65">
        <f t="shared" si="11"/>
        <v>0</v>
      </c>
      <c r="AD40" s="65">
        <f t="shared" si="12"/>
        <v>0</v>
      </c>
      <c r="AE40" s="65">
        <f t="shared" si="7"/>
        <v>0</v>
      </c>
      <c r="AF40" s="65">
        <f t="shared" si="13"/>
        <v>2016.2816666666668</v>
      </c>
      <c r="AG40" s="41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</row>
    <row r="41" spans="1:91" ht="27.75" customHeight="1" thickBot="1" thickTop="1">
      <c r="A41" s="27"/>
      <c r="B41" s="28">
        <v>38</v>
      </c>
      <c r="C41" s="51">
        <v>15295</v>
      </c>
      <c r="D41" s="51" t="s">
        <v>24</v>
      </c>
      <c r="E41" s="51">
        <v>1</v>
      </c>
      <c r="F41" s="51" t="s">
        <v>103</v>
      </c>
      <c r="G41" s="48">
        <v>0</v>
      </c>
      <c r="H41" s="48">
        <v>1</v>
      </c>
      <c r="I41" s="48">
        <v>0</v>
      </c>
      <c r="J41" s="48">
        <v>1</v>
      </c>
      <c r="K41" s="23">
        <v>0</v>
      </c>
      <c r="L41" s="23">
        <v>4</v>
      </c>
      <c r="M41" s="23">
        <v>1</v>
      </c>
      <c r="N41" s="48">
        <v>1</v>
      </c>
      <c r="O41" s="48">
        <v>0</v>
      </c>
      <c r="P41" s="48">
        <v>0</v>
      </c>
      <c r="Q41" s="48">
        <v>0</v>
      </c>
      <c r="R41" s="48">
        <v>0</v>
      </c>
      <c r="S41" s="48">
        <v>1</v>
      </c>
      <c r="T41" s="52">
        <v>3929.75</v>
      </c>
      <c r="U41" s="52"/>
      <c r="V41" s="52">
        <f>11190+2500-T41</f>
        <v>9760.25</v>
      </c>
      <c r="W41" s="52"/>
      <c r="X41" s="52"/>
      <c r="Y41" s="52"/>
      <c r="Z41" s="66">
        <f>((T41*50%+U41*85%+V41)/L41)+W41</f>
        <v>2931.28125</v>
      </c>
      <c r="AA41" s="66">
        <f>IF(O41=1,Z41*30%,0)</f>
        <v>0</v>
      </c>
      <c r="AB41" s="66">
        <f>IF(K41=1,Z41*20%,0)</f>
        <v>0</v>
      </c>
      <c r="AC41" s="66">
        <f>IF(R41=1,Z41*10%,0)</f>
        <v>0</v>
      </c>
      <c r="AD41" s="66">
        <f>IF(S41=1,Z41*30%,0)</f>
        <v>879.384375</v>
      </c>
      <c r="AE41" s="66">
        <f>IF(I41=1,Z41*30%,0)</f>
        <v>0</v>
      </c>
      <c r="AF41" s="66">
        <f>Z41-AA41-AB41-AC41-AD41-AE41</f>
        <v>2051.896875</v>
      </c>
      <c r="AG41" s="18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</row>
    <row r="42" spans="1:91" ht="22.5" customHeight="1" thickBot="1" thickTop="1">
      <c r="A42" s="27">
        <v>80</v>
      </c>
      <c r="B42" s="28">
        <v>39</v>
      </c>
      <c r="C42" s="19">
        <v>15218</v>
      </c>
      <c r="D42" s="55" t="s">
        <v>25</v>
      </c>
      <c r="E42" s="19">
        <v>1</v>
      </c>
      <c r="F42" s="18" t="s">
        <v>57</v>
      </c>
      <c r="G42" s="18">
        <v>0</v>
      </c>
      <c r="H42" s="18">
        <v>1</v>
      </c>
      <c r="I42" s="18">
        <v>0</v>
      </c>
      <c r="J42" s="18">
        <v>1</v>
      </c>
      <c r="K42" s="18">
        <v>0</v>
      </c>
      <c r="L42" s="18">
        <v>5</v>
      </c>
      <c r="M42" s="18">
        <v>1</v>
      </c>
      <c r="N42" s="18">
        <v>1</v>
      </c>
      <c r="O42" s="18">
        <v>0</v>
      </c>
      <c r="P42" s="18">
        <v>0</v>
      </c>
      <c r="Q42" s="18">
        <v>1</v>
      </c>
      <c r="R42" s="18">
        <v>0</v>
      </c>
      <c r="S42" s="18">
        <v>0</v>
      </c>
      <c r="T42" s="30">
        <f>8096.59+13397.75</f>
        <v>21494.34</v>
      </c>
      <c r="U42" s="30"/>
      <c r="V42" s="30"/>
      <c r="W42" s="30"/>
      <c r="X42" s="31"/>
      <c r="Y42" s="31"/>
      <c r="Z42" s="65">
        <f t="shared" si="8"/>
        <v>2149.434</v>
      </c>
      <c r="AA42" s="65">
        <f t="shared" si="9"/>
        <v>0</v>
      </c>
      <c r="AB42" s="65">
        <f t="shared" si="10"/>
        <v>0</v>
      </c>
      <c r="AC42" s="65">
        <f t="shared" si="11"/>
        <v>0</v>
      </c>
      <c r="AD42" s="65">
        <f t="shared" si="12"/>
        <v>0</v>
      </c>
      <c r="AE42" s="65">
        <f t="shared" si="7"/>
        <v>0</v>
      </c>
      <c r="AF42" s="65">
        <f t="shared" si="13"/>
        <v>2149.434</v>
      </c>
      <c r="AG42" s="50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</row>
    <row r="43" spans="1:91" s="39" customFormat="1" ht="22.5" customHeight="1" thickBot="1" thickTop="1">
      <c r="A43" s="37"/>
      <c r="B43" s="28">
        <v>40</v>
      </c>
      <c r="C43" s="20">
        <v>15194</v>
      </c>
      <c r="D43" s="20" t="s">
        <v>24</v>
      </c>
      <c r="E43" s="20">
        <v>1</v>
      </c>
      <c r="F43" s="20" t="s">
        <v>35</v>
      </c>
      <c r="G43" s="28">
        <v>0</v>
      </c>
      <c r="H43" s="33">
        <v>1</v>
      </c>
      <c r="I43" s="33">
        <v>1</v>
      </c>
      <c r="J43" s="33">
        <v>1</v>
      </c>
      <c r="K43" s="28">
        <v>0</v>
      </c>
      <c r="L43" s="28">
        <v>4</v>
      </c>
      <c r="M43" s="33">
        <v>1</v>
      </c>
      <c r="N43" s="33">
        <v>1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4">
        <v>1170.83</v>
      </c>
      <c r="U43" s="34"/>
      <c r="V43" s="34">
        <f>7100+5900-T43</f>
        <v>11829.17</v>
      </c>
      <c r="W43" s="34"/>
      <c r="X43" s="34"/>
      <c r="Y43" s="34"/>
      <c r="Z43" s="65">
        <f t="shared" si="8"/>
        <v>3103.64625</v>
      </c>
      <c r="AA43" s="65">
        <f t="shared" si="9"/>
        <v>0</v>
      </c>
      <c r="AB43" s="65">
        <f t="shared" si="10"/>
        <v>0</v>
      </c>
      <c r="AC43" s="65">
        <f t="shared" si="11"/>
        <v>0</v>
      </c>
      <c r="AD43" s="65">
        <f t="shared" si="12"/>
        <v>0</v>
      </c>
      <c r="AE43" s="65">
        <f t="shared" si="7"/>
        <v>931.0938749999999</v>
      </c>
      <c r="AF43" s="65">
        <f t="shared" si="13"/>
        <v>2172.5523749999998</v>
      </c>
      <c r="AG43" s="1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</row>
    <row r="44" spans="1:91" ht="19.5" thickBot="1" thickTop="1">
      <c r="A44" s="27">
        <v>63</v>
      </c>
      <c r="B44" s="28">
        <v>41</v>
      </c>
      <c r="C44" s="19">
        <v>15201</v>
      </c>
      <c r="D44" s="19" t="s">
        <v>24</v>
      </c>
      <c r="E44" s="19">
        <v>1</v>
      </c>
      <c r="F44" s="18" t="s">
        <v>51</v>
      </c>
      <c r="G44" s="18">
        <v>0</v>
      </c>
      <c r="H44" s="18">
        <v>1</v>
      </c>
      <c r="I44" s="18">
        <v>0</v>
      </c>
      <c r="J44" s="18">
        <v>1</v>
      </c>
      <c r="K44" s="18">
        <v>0</v>
      </c>
      <c r="L44" s="18">
        <v>4</v>
      </c>
      <c r="M44" s="18">
        <v>1</v>
      </c>
      <c r="N44" s="18">
        <v>1</v>
      </c>
      <c r="O44" s="18">
        <v>1</v>
      </c>
      <c r="P44" s="18">
        <v>0</v>
      </c>
      <c r="Q44" s="18">
        <v>0</v>
      </c>
      <c r="R44" s="18">
        <v>0</v>
      </c>
      <c r="S44" s="18">
        <v>0</v>
      </c>
      <c r="T44" s="30">
        <v>9910.29</v>
      </c>
      <c r="U44" s="30"/>
      <c r="V44" s="30">
        <f>7000+530.11</f>
        <v>7530.11</v>
      </c>
      <c r="W44" s="30"/>
      <c r="X44" s="62"/>
      <c r="Y44" s="62"/>
      <c r="Z44" s="65">
        <f t="shared" si="8"/>
        <v>3121.3137500000003</v>
      </c>
      <c r="AA44" s="65">
        <f t="shared" si="9"/>
        <v>936.394125</v>
      </c>
      <c r="AB44" s="65">
        <f t="shared" si="10"/>
        <v>0</v>
      </c>
      <c r="AC44" s="65">
        <f t="shared" si="11"/>
        <v>0</v>
      </c>
      <c r="AD44" s="65">
        <f t="shared" si="12"/>
        <v>0</v>
      </c>
      <c r="AE44" s="65">
        <f aca="true" t="shared" si="14" ref="AE44:AE77">IF(I44=1,Z44*30%,0)</f>
        <v>0</v>
      </c>
      <c r="AF44" s="65">
        <f t="shared" si="13"/>
        <v>2184.9196250000005</v>
      </c>
      <c r="AG44" s="50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</row>
    <row r="45" spans="1:91" ht="22.5" customHeight="1" thickBot="1" thickTop="1">
      <c r="A45" s="27">
        <v>110</v>
      </c>
      <c r="B45" s="28">
        <v>42</v>
      </c>
      <c r="C45" s="20">
        <v>15282</v>
      </c>
      <c r="D45" s="20" t="s">
        <v>24</v>
      </c>
      <c r="E45" s="20">
        <v>1</v>
      </c>
      <c r="F45" s="20" t="s">
        <v>97</v>
      </c>
      <c r="G45" s="28">
        <v>0</v>
      </c>
      <c r="H45" s="33">
        <v>1</v>
      </c>
      <c r="I45" s="33">
        <v>0</v>
      </c>
      <c r="J45" s="33">
        <v>1</v>
      </c>
      <c r="K45" s="28">
        <v>0</v>
      </c>
      <c r="L45" s="28">
        <v>3</v>
      </c>
      <c r="M45" s="33">
        <v>1</v>
      </c>
      <c r="N45" s="33">
        <v>1</v>
      </c>
      <c r="O45" s="33">
        <v>0</v>
      </c>
      <c r="P45" s="33">
        <v>0</v>
      </c>
      <c r="Q45" s="33">
        <v>0</v>
      </c>
      <c r="R45" s="33">
        <v>1</v>
      </c>
      <c r="S45" s="33">
        <v>0</v>
      </c>
      <c r="T45" s="34"/>
      <c r="U45" s="34"/>
      <c r="V45" s="34">
        <v>7380</v>
      </c>
      <c r="W45" s="34"/>
      <c r="X45" s="34"/>
      <c r="Y45" s="34"/>
      <c r="Z45" s="65">
        <f t="shared" si="8"/>
        <v>2460</v>
      </c>
      <c r="AA45" s="65">
        <f t="shared" si="9"/>
        <v>0</v>
      </c>
      <c r="AB45" s="65">
        <f t="shared" si="10"/>
        <v>0</v>
      </c>
      <c r="AC45" s="65">
        <f t="shared" si="11"/>
        <v>246</v>
      </c>
      <c r="AD45" s="65">
        <f t="shared" si="12"/>
        <v>0</v>
      </c>
      <c r="AE45" s="65">
        <f t="shared" si="14"/>
        <v>0</v>
      </c>
      <c r="AF45" s="65">
        <f t="shared" si="13"/>
        <v>2214</v>
      </c>
      <c r="AG45" s="50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</row>
    <row r="46" spans="1:91" ht="22.5" customHeight="1" thickBot="1" thickTop="1">
      <c r="A46" s="27"/>
      <c r="B46" s="28">
        <v>43</v>
      </c>
      <c r="C46" s="20">
        <v>15198</v>
      </c>
      <c r="D46" s="20" t="s">
        <v>25</v>
      </c>
      <c r="E46" s="20">
        <v>1</v>
      </c>
      <c r="F46" s="20" t="s">
        <v>47</v>
      </c>
      <c r="G46" s="47">
        <v>0</v>
      </c>
      <c r="H46" s="48">
        <v>1</v>
      </c>
      <c r="I46" s="48">
        <v>1</v>
      </c>
      <c r="J46" s="48">
        <v>1</v>
      </c>
      <c r="K46" s="47">
        <v>0</v>
      </c>
      <c r="L46" s="47">
        <v>4</v>
      </c>
      <c r="M46" s="48">
        <v>1</v>
      </c>
      <c r="N46" s="48">
        <v>1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9">
        <f>27.13+937.39+0.08</f>
        <v>964.6</v>
      </c>
      <c r="U46" s="49"/>
      <c r="V46" s="49">
        <f>10760+2500-T46</f>
        <v>12295.4</v>
      </c>
      <c r="W46" s="49"/>
      <c r="X46" s="49"/>
      <c r="Y46" s="49"/>
      <c r="Z46" s="66">
        <f t="shared" si="8"/>
        <v>3194.4249999999997</v>
      </c>
      <c r="AA46" s="66">
        <f t="shared" si="9"/>
        <v>0</v>
      </c>
      <c r="AB46" s="66">
        <f t="shared" si="10"/>
        <v>0</v>
      </c>
      <c r="AC46" s="66">
        <f t="shared" si="11"/>
        <v>0</v>
      </c>
      <c r="AD46" s="66">
        <f t="shared" si="12"/>
        <v>0</v>
      </c>
      <c r="AE46" s="66">
        <f t="shared" si="14"/>
        <v>958.3274999999999</v>
      </c>
      <c r="AF46" s="66">
        <f t="shared" si="13"/>
        <v>2236.0975</v>
      </c>
      <c r="AG46" s="18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</row>
    <row r="47" spans="1:91" ht="22.5" customHeight="1" thickBot="1" thickTop="1">
      <c r="A47" s="27"/>
      <c r="B47" s="28">
        <v>44</v>
      </c>
      <c r="C47" s="20">
        <v>2343</v>
      </c>
      <c r="D47" s="71" t="s">
        <v>23</v>
      </c>
      <c r="E47" s="20">
        <v>1</v>
      </c>
      <c r="F47" s="20" t="s">
        <v>98</v>
      </c>
      <c r="G47" s="28">
        <v>0</v>
      </c>
      <c r="H47" s="33">
        <v>1</v>
      </c>
      <c r="I47" s="33">
        <v>0</v>
      </c>
      <c r="J47" s="33">
        <v>1</v>
      </c>
      <c r="K47" s="28">
        <v>0</v>
      </c>
      <c r="L47" s="28">
        <v>4</v>
      </c>
      <c r="M47" s="33">
        <v>1</v>
      </c>
      <c r="N47" s="33">
        <v>1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4">
        <v>12931.44</v>
      </c>
      <c r="U47" s="34">
        <v>120.6</v>
      </c>
      <c r="V47" s="34">
        <f>2500-120.6</f>
        <v>2379.4</v>
      </c>
      <c r="W47" s="34"/>
      <c r="X47" s="35"/>
      <c r="Y47" s="35"/>
      <c r="Z47" s="65">
        <f t="shared" si="8"/>
        <v>2236.9075000000003</v>
      </c>
      <c r="AA47" s="65">
        <f t="shared" si="9"/>
        <v>0</v>
      </c>
      <c r="AB47" s="65">
        <f t="shared" si="10"/>
        <v>0</v>
      </c>
      <c r="AC47" s="65">
        <f t="shared" si="11"/>
        <v>0</v>
      </c>
      <c r="AD47" s="65">
        <f t="shared" si="12"/>
        <v>0</v>
      </c>
      <c r="AE47" s="65">
        <f t="shared" si="14"/>
        <v>0</v>
      </c>
      <c r="AF47" s="65">
        <f t="shared" si="13"/>
        <v>2236.9075000000003</v>
      </c>
      <c r="AG47" s="41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</row>
    <row r="48" spans="1:91" s="39" customFormat="1" ht="22.5" customHeight="1" thickBot="1" thickTop="1">
      <c r="A48" s="37"/>
      <c r="B48" s="28">
        <v>45</v>
      </c>
      <c r="C48" s="20">
        <v>15238</v>
      </c>
      <c r="D48" s="20" t="s">
        <v>25</v>
      </c>
      <c r="E48" s="20">
        <v>1</v>
      </c>
      <c r="F48" s="20" t="s">
        <v>60</v>
      </c>
      <c r="G48" s="28">
        <v>0</v>
      </c>
      <c r="H48" s="33">
        <v>1</v>
      </c>
      <c r="I48" s="33">
        <v>0</v>
      </c>
      <c r="J48" s="33">
        <v>1</v>
      </c>
      <c r="K48" s="28">
        <v>0</v>
      </c>
      <c r="L48" s="28">
        <v>3</v>
      </c>
      <c r="M48" s="33">
        <v>1</v>
      </c>
      <c r="N48" s="33">
        <v>1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4">
        <v>873.1</v>
      </c>
      <c r="U48" s="34">
        <f>724.75+726.57</f>
        <v>1451.3200000000002</v>
      </c>
      <c r="V48" s="34">
        <f>4900+2500-T48-U48</f>
        <v>5075.58</v>
      </c>
      <c r="W48" s="34"/>
      <c r="X48" s="63"/>
      <c r="Y48" s="63"/>
      <c r="Z48" s="65">
        <f t="shared" si="8"/>
        <v>2248.5840000000003</v>
      </c>
      <c r="AA48" s="65">
        <f t="shared" si="9"/>
        <v>0</v>
      </c>
      <c r="AB48" s="65">
        <f t="shared" si="10"/>
        <v>0</v>
      </c>
      <c r="AC48" s="65">
        <f t="shared" si="11"/>
        <v>0</v>
      </c>
      <c r="AD48" s="65">
        <f t="shared" si="12"/>
        <v>0</v>
      </c>
      <c r="AE48" s="65">
        <f t="shared" si="14"/>
        <v>0</v>
      </c>
      <c r="AF48" s="65">
        <f t="shared" si="13"/>
        <v>2248.5840000000003</v>
      </c>
      <c r="AG48" s="50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</row>
    <row r="49" spans="1:91" s="56" customFormat="1" ht="19.5" thickBot="1" thickTop="1">
      <c r="A49" s="27"/>
      <c r="B49" s="28">
        <v>46</v>
      </c>
      <c r="C49" s="20">
        <v>15273</v>
      </c>
      <c r="D49" s="20" t="s">
        <v>25</v>
      </c>
      <c r="E49" s="20">
        <v>1</v>
      </c>
      <c r="F49" s="20" t="s">
        <v>77</v>
      </c>
      <c r="G49" s="28">
        <v>0</v>
      </c>
      <c r="H49" s="33">
        <v>1</v>
      </c>
      <c r="I49" s="33">
        <v>1</v>
      </c>
      <c r="J49" s="33">
        <v>1</v>
      </c>
      <c r="K49" s="28">
        <v>0</v>
      </c>
      <c r="L49" s="28">
        <v>3</v>
      </c>
      <c r="M49" s="33">
        <v>1</v>
      </c>
      <c r="N49" s="33">
        <v>1</v>
      </c>
      <c r="O49" s="33">
        <v>0</v>
      </c>
      <c r="P49" s="33">
        <v>0</v>
      </c>
      <c r="Q49" s="33">
        <v>1</v>
      </c>
      <c r="R49" s="33">
        <v>0</v>
      </c>
      <c r="S49" s="33">
        <v>0</v>
      </c>
      <c r="T49" s="34">
        <v>11011.49</v>
      </c>
      <c r="U49" s="34"/>
      <c r="V49" s="34">
        <f>4500+11352-T49</f>
        <v>4840.51</v>
      </c>
      <c r="W49" s="34"/>
      <c r="X49" s="35"/>
      <c r="Y49" s="35"/>
      <c r="Z49" s="65">
        <f t="shared" si="8"/>
        <v>3448.751666666667</v>
      </c>
      <c r="AA49" s="65">
        <f t="shared" si="9"/>
        <v>0</v>
      </c>
      <c r="AB49" s="65">
        <f t="shared" si="10"/>
        <v>0</v>
      </c>
      <c r="AC49" s="65">
        <f t="shared" si="11"/>
        <v>0</v>
      </c>
      <c r="AD49" s="65">
        <f t="shared" si="12"/>
        <v>0</v>
      </c>
      <c r="AE49" s="65">
        <f t="shared" si="14"/>
        <v>1034.6255</v>
      </c>
      <c r="AF49" s="65">
        <f t="shared" si="13"/>
        <v>2414.126166666667</v>
      </c>
      <c r="AG49" s="18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</row>
    <row r="50" spans="1:91" ht="27.75" thickBot="1" thickTop="1">
      <c r="A50" s="27"/>
      <c r="B50" s="28">
        <v>47</v>
      </c>
      <c r="C50" s="20">
        <v>2396</v>
      </c>
      <c r="D50" s="55" t="s">
        <v>23</v>
      </c>
      <c r="E50" s="20">
        <v>1</v>
      </c>
      <c r="F50" s="20" t="s">
        <v>92</v>
      </c>
      <c r="G50" s="28">
        <v>0</v>
      </c>
      <c r="H50" s="33">
        <v>1</v>
      </c>
      <c r="I50" s="33">
        <v>1</v>
      </c>
      <c r="J50" s="33">
        <v>1</v>
      </c>
      <c r="K50" s="28">
        <v>0</v>
      </c>
      <c r="L50" s="28">
        <v>3</v>
      </c>
      <c r="M50" s="33">
        <v>1</v>
      </c>
      <c r="N50" s="33">
        <v>1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4">
        <v>2500</v>
      </c>
      <c r="U50" s="34"/>
      <c r="V50" s="34">
        <f>8040+3900-T50</f>
        <v>9440</v>
      </c>
      <c r="W50" s="34"/>
      <c r="X50" s="35"/>
      <c r="Y50" s="35"/>
      <c r="Z50" s="65">
        <f t="shared" si="8"/>
        <v>3563.3333333333335</v>
      </c>
      <c r="AA50" s="65">
        <f t="shared" si="9"/>
        <v>0</v>
      </c>
      <c r="AB50" s="65">
        <f t="shared" si="10"/>
        <v>0</v>
      </c>
      <c r="AC50" s="65">
        <f t="shared" si="11"/>
        <v>0</v>
      </c>
      <c r="AD50" s="65">
        <f t="shared" si="12"/>
        <v>0</v>
      </c>
      <c r="AE50" s="65">
        <f t="shared" si="14"/>
        <v>1069</v>
      </c>
      <c r="AF50" s="65">
        <f t="shared" si="13"/>
        <v>2494.3333333333335</v>
      </c>
      <c r="AG50" s="41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</row>
    <row r="51" spans="1:91" ht="19.5" thickBot="1" thickTop="1">
      <c r="A51" s="27"/>
      <c r="B51" s="28">
        <v>48</v>
      </c>
      <c r="C51" s="20">
        <v>15209</v>
      </c>
      <c r="D51" s="20" t="s">
        <v>24</v>
      </c>
      <c r="E51" s="20">
        <v>1</v>
      </c>
      <c r="F51" s="20" t="s">
        <v>102</v>
      </c>
      <c r="G51" s="47">
        <v>0</v>
      </c>
      <c r="H51" s="48">
        <v>1</v>
      </c>
      <c r="I51" s="48">
        <v>0</v>
      </c>
      <c r="J51" s="48">
        <v>1</v>
      </c>
      <c r="K51" s="47">
        <v>0</v>
      </c>
      <c r="L51" s="47">
        <v>3</v>
      </c>
      <c r="M51" s="48">
        <v>1</v>
      </c>
      <c r="N51" s="48">
        <v>1</v>
      </c>
      <c r="O51" s="48">
        <v>0</v>
      </c>
      <c r="P51" s="48">
        <v>0</v>
      </c>
      <c r="Q51" s="48">
        <v>1</v>
      </c>
      <c r="R51" s="48">
        <v>1</v>
      </c>
      <c r="S51" s="48">
        <v>0</v>
      </c>
      <c r="T51" s="49"/>
      <c r="U51" s="49"/>
      <c r="V51" s="49">
        <v>8345</v>
      </c>
      <c r="W51" s="49"/>
      <c r="X51" s="49"/>
      <c r="Y51" s="49"/>
      <c r="Z51" s="66">
        <f t="shared" si="8"/>
        <v>2781.6666666666665</v>
      </c>
      <c r="AA51" s="66">
        <f t="shared" si="9"/>
        <v>0</v>
      </c>
      <c r="AB51" s="66">
        <f t="shared" si="10"/>
        <v>0</v>
      </c>
      <c r="AC51" s="66">
        <f t="shared" si="11"/>
        <v>278.1666666666667</v>
      </c>
      <c r="AD51" s="66">
        <f t="shared" si="12"/>
        <v>0</v>
      </c>
      <c r="AE51" s="66">
        <f t="shared" si="14"/>
        <v>0</v>
      </c>
      <c r="AF51" s="66">
        <f t="shared" si="13"/>
        <v>2503.5</v>
      </c>
      <c r="AG51" s="41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</row>
    <row r="52" spans="1:91" s="25" customFormat="1" ht="19.5" thickBot="1" thickTop="1">
      <c r="A52" s="21"/>
      <c r="B52" s="28">
        <v>49</v>
      </c>
      <c r="C52" s="54">
        <v>15230</v>
      </c>
      <c r="D52" s="54" t="s">
        <v>25</v>
      </c>
      <c r="E52" s="54">
        <v>1</v>
      </c>
      <c r="F52" s="23" t="s">
        <v>72</v>
      </c>
      <c r="G52" s="23">
        <v>0</v>
      </c>
      <c r="H52" s="23">
        <v>1</v>
      </c>
      <c r="I52" s="23">
        <v>0</v>
      </c>
      <c r="J52" s="23">
        <v>1</v>
      </c>
      <c r="K52" s="23">
        <v>0</v>
      </c>
      <c r="L52" s="23">
        <v>5</v>
      </c>
      <c r="M52" s="23">
        <v>1</v>
      </c>
      <c r="N52" s="23">
        <v>1</v>
      </c>
      <c r="O52" s="23">
        <v>0</v>
      </c>
      <c r="P52" s="23">
        <v>0</v>
      </c>
      <c r="Q52" s="23">
        <v>1</v>
      </c>
      <c r="R52" s="23">
        <v>0</v>
      </c>
      <c r="S52" s="23">
        <v>0</v>
      </c>
      <c r="T52" s="52">
        <v>3131.2</v>
      </c>
      <c r="U52" s="52">
        <v>13205</v>
      </c>
      <c r="V52" s="52"/>
      <c r="W52" s="52"/>
      <c r="X52" s="52"/>
      <c r="Y52" s="52"/>
      <c r="Z52" s="66">
        <f t="shared" si="8"/>
        <v>2557.9700000000003</v>
      </c>
      <c r="AA52" s="66">
        <f t="shared" si="9"/>
        <v>0</v>
      </c>
      <c r="AB52" s="66">
        <f t="shared" si="10"/>
        <v>0</v>
      </c>
      <c r="AC52" s="66">
        <f t="shared" si="11"/>
        <v>0</v>
      </c>
      <c r="AD52" s="66">
        <f t="shared" si="12"/>
        <v>0</v>
      </c>
      <c r="AE52" s="66">
        <f t="shared" si="14"/>
        <v>0</v>
      </c>
      <c r="AF52" s="66">
        <f t="shared" si="13"/>
        <v>2557.9700000000003</v>
      </c>
      <c r="AG52" s="18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</row>
    <row r="53" spans="1:91" ht="19.5" thickBot="1" thickTop="1">
      <c r="A53" s="27">
        <v>118</v>
      </c>
      <c r="B53" s="28">
        <v>50</v>
      </c>
      <c r="C53" s="20">
        <v>15191</v>
      </c>
      <c r="D53" s="20" t="s">
        <v>25</v>
      </c>
      <c r="E53" s="20">
        <v>1</v>
      </c>
      <c r="F53" s="20" t="s">
        <v>39</v>
      </c>
      <c r="G53" s="33">
        <v>0</v>
      </c>
      <c r="H53" s="33">
        <v>1</v>
      </c>
      <c r="I53" s="33">
        <v>0</v>
      </c>
      <c r="J53" s="33">
        <v>1</v>
      </c>
      <c r="K53" s="18">
        <v>0</v>
      </c>
      <c r="L53" s="18">
        <v>4</v>
      </c>
      <c r="M53" s="18">
        <v>1</v>
      </c>
      <c r="N53" s="33">
        <v>1</v>
      </c>
      <c r="O53" s="20">
        <v>0</v>
      </c>
      <c r="P53" s="33">
        <v>0</v>
      </c>
      <c r="Q53" s="33">
        <v>0</v>
      </c>
      <c r="R53" s="33">
        <v>0</v>
      </c>
      <c r="S53" s="33">
        <v>0</v>
      </c>
      <c r="T53" s="30">
        <v>11489.33</v>
      </c>
      <c r="U53" s="30"/>
      <c r="V53" s="30">
        <v>4500</v>
      </c>
      <c r="W53" s="30"/>
      <c r="X53" s="31"/>
      <c r="Y53" s="31"/>
      <c r="Z53" s="65">
        <f t="shared" si="8"/>
        <v>2561.16625</v>
      </c>
      <c r="AA53" s="65">
        <f t="shared" si="9"/>
        <v>0</v>
      </c>
      <c r="AB53" s="65">
        <f t="shared" si="10"/>
        <v>0</v>
      </c>
      <c r="AC53" s="65">
        <f t="shared" si="11"/>
        <v>0</v>
      </c>
      <c r="AD53" s="65">
        <f t="shared" si="12"/>
        <v>0</v>
      </c>
      <c r="AE53" s="65">
        <f t="shared" si="14"/>
        <v>0</v>
      </c>
      <c r="AF53" s="65">
        <f t="shared" si="13"/>
        <v>2561.16625</v>
      </c>
      <c r="AG53" s="18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</row>
    <row r="54" spans="1:91" ht="22.5" customHeight="1" thickBot="1" thickTop="1">
      <c r="A54" s="27">
        <v>193</v>
      </c>
      <c r="B54" s="28">
        <v>51</v>
      </c>
      <c r="C54" s="54">
        <v>15181</v>
      </c>
      <c r="D54" s="54" t="s">
        <v>25</v>
      </c>
      <c r="E54" s="54">
        <v>1</v>
      </c>
      <c r="F54" s="23" t="s">
        <v>37</v>
      </c>
      <c r="G54" s="23">
        <v>0</v>
      </c>
      <c r="H54" s="23">
        <v>1</v>
      </c>
      <c r="I54" s="23">
        <v>1</v>
      </c>
      <c r="J54" s="23">
        <v>1</v>
      </c>
      <c r="K54" s="23">
        <v>0</v>
      </c>
      <c r="L54" s="23">
        <v>5</v>
      </c>
      <c r="M54" s="23">
        <v>1</v>
      </c>
      <c r="N54" s="23">
        <v>1</v>
      </c>
      <c r="O54" s="23">
        <v>0</v>
      </c>
      <c r="P54" s="23">
        <v>0</v>
      </c>
      <c r="Q54" s="23">
        <v>1</v>
      </c>
      <c r="R54" s="23">
        <v>0</v>
      </c>
      <c r="S54" s="23">
        <v>0</v>
      </c>
      <c r="T54" s="52">
        <v>19921.67</v>
      </c>
      <c r="U54" s="52"/>
      <c r="V54" s="52">
        <v>8610</v>
      </c>
      <c r="W54" s="52"/>
      <c r="X54" s="62"/>
      <c r="Y54" s="62"/>
      <c r="Z54" s="66">
        <f t="shared" si="8"/>
        <v>3714.167</v>
      </c>
      <c r="AA54" s="66">
        <f t="shared" si="9"/>
        <v>0</v>
      </c>
      <c r="AB54" s="66">
        <f t="shared" si="10"/>
        <v>0</v>
      </c>
      <c r="AC54" s="66">
        <f t="shared" si="11"/>
        <v>0</v>
      </c>
      <c r="AD54" s="66">
        <f t="shared" si="12"/>
        <v>0</v>
      </c>
      <c r="AE54" s="66">
        <f t="shared" si="14"/>
        <v>1114.2501</v>
      </c>
      <c r="AF54" s="66">
        <f t="shared" si="13"/>
        <v>2599.9169</v>
      </c>
      <c r="AG54" s="41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</row>
    <row r="55" spans="1:91" ht="22.5" customHeight="1" thickBot="1" thickTop="1">
      <c r="A55" s="27"/>
      <c r="B55" s="28">
        <v>52</v>
      </c>
      <c r="C55" s="20">
        <v>15189</v>
      </c>
      <c r="D55" s="20" t="s">
        <v>25</v>
      </c>
      <c r="E55" s="20">
        <v>1</v>
      </c>
      <c r="F55" s="20" t="s">
        <v>99</v>
      </c>
      <c r="G55" s="28">
        <v>0</v>
      </c>
      <c r="H55" s="33">
        <v>1</v>
      </c>
      <c r="I55" s="33">
        <v>1</v>
      </c>
      <c r="J55" s="33">
        <v>0</v>
      </c>
      <c r="K55" s="28">
        <v>0</v>
      </c>
      <c r="L55" s="28">
        <v>4</v>
      </c>
      <c r="M55" s="33">
        <v>1</v>
      </c>
      <c r="N55" s="33">
        <v>1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4">
        <v>4809.65</v>
      </c>
      <c r="U55" s="34"/>
      <c r="V55" s="34">
        <f>5370-T55+11940</f>
        <v>12500.35</v>
      </c>
      <c r="W55" s="34"/>
      <c r="X55" s="35"/>
      <c r="Y55" s="35"/>
      <c r="Z55" s="65">
        <f t="shared" si="8"/>
        <v>3726.29375</v>
      </c>
      <c r="AA55" s="65">
        <f t="shared" si="9"/>
        <v>0</v>
      </c>
      <c r="AB55" s="65">
        <f t="shared" si="10"/>
        <v>0</v>
      </c>
      <c r="AC55" s="65">
        <f t="shared" si="11"/>
        <v>0</v>
      </c>
      <c r="AD55" s="65">
        <f t="shared" si="12"/>
        <v>0</v>
      </c>
      <c r="AE55" s="65">
        <f t="shared" si="14"/>
        <v>1117.888125</v>
      </c>
      <c r="AF55" s="65">
        <f t="shared" si="13"/>
        <v>2608.405625</v>
      </c>
      <c r="AG55" s="41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</row>
    <row r="56" spans="1:91" ht="22.5" customHeight="1" thickBot="1" thickTop="1">
      <c r="A56" s="27">
        <v>206</v>
      </c>
      <c r="B56" s="28">
        <v>53</v>
      </c>
      <c r="C56" s="19">
        <v>15319</v>
      </c>
      <c r="D56" s="19" t="s">
        <v>24</v>
      </c>
      <c r="E56" s="19">
        <v>1</v>
      </c>
      <c r="F56" s="18" t="s">
        <v>67</v>
      </c>
      <c r="G56" s="18">
        <v>0</v>
      </c>
      <c r="H56" s="18">
        <v>1</v>
      </c>
      <c r="I56" s="18">
        <v>0</v>
      </c>
      <c r="J56" s="18">
        <v>1</v>
      </c>
      <c r="K56" s="18">
        <v>0</v>
      </c>
      <c r="L56" s="18">
        <v>5</v>
      </c>
      <c r="M56" s="18">
        <v>1</v>
      </c>
      <c r="N56" s="18">
        <v>1</v>
      </c>
      <c r="O56" s="18">
        <v>1</v>
      </c>
      <c r="P56" s="18">
        <v>0</v>
      </c>
      <c r="Q56" s="18">
        <v>1</v>
      </c>
      <c r="R56" s="18">
        <v>0</v>
      </c>
      <c r="S56" s="18">
        <v>0</v>
      </c>
      <c r="T56" s="30">
        <f>31481.55+1500.58</f>
        <v>32982.13</v>
      </c>
      <c r="U56" s="30"/>
      <c r="V56" s="30">
        <f>361.76+2500</f>
        <v>2861.76</v>
      </c>
      <c r="W56" s="30"/>
      <c r="X56" s="30"/>
      <c r="Y56" s="30"/>
      <c r="Z56" s="65">
        <f t="shared" si="8"/>
        <v>3870.5649999999996</v>
      </c>
      <c r="AA56" s="65">
        <f t="shared" si="9"/>
        <v>1161.1694999999997</v>
      </c>
      <c r="AB56" s="65">
        <f t="shared" si="10"/>
        <v>0</v>
      </c>
      <c r="AC56" s="65">
        <f t="shared" si="11"/>
        <v>0</v>
      </c>
      <c r="AD56" s="65">
        <f t="shared" si="12"/>
        <v>0</v>
      </c>
      <c r="AE56" s="65">
        <f t="shared" si="14"/>
        <v>0</v>
      </c>
      <c r="AF56" s="65">
        <f t="shared" si="13"/>
        <v>2709.3954999999996</v>
      </c>
      <c r="AG56" s="50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</row>
    <row r="57" spans="1:91" s="44" customFormat="1" ht="19.5" thickBot="1" thickTop="1">
      <c r="A57" s="42">
        <v>82</v>
      </c>
      <c r="B57" s="28">
        <v>54</v>
      </c>
      <c r="C57" s="20">
        <v>15273</v>
      </c>
      <c r="D57" s="51" t="s">
        <v>24</v>
      </c>
      <c r="E57" s="51">
        <v>1</v>
      </c>
      <c r="F57" s="51" t="s">
        <v>74</v>
      </c>
      <c r="G57" s="48">
        <v>0</v>
      </c>
      <c r="H57" s="48">
        <v>1</v>
      </c>
      <c r="I57" s="48">
        <v>0</v>
      </c>
      <c r="J57" s="48">
        <v>1</v>
      </c>
      <c r="K57" s="23">
        <v>0</v>
      </c>
      <c r="L57" s="23">
        <v>4</v>
      </c>
      <c r="M57" s="23">
        <v>1</v>
      </c>
      <c r="N57" s="48">
        <v>1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52">
        <v>721.05</v>
      </c>
      <c r="U57" s="52">
        <f>4192.19+711</f>
        <v>4903.19</v>
      </c>
      <c r="V57" s="52">
        <f>1662.3+6292-711-721.05</f>
        <v>6522.25</v>
      </c>
      <c r="W57" s="52"/>
      <c r="X57" s="62"/>
      <c r="Y57" s="62"/>
      <c r="Z57" s="66">
        <f t="shared" si="8"/>
        <v>2762.6216249999998</v>
      </c>
      <c r="AA57" s="65">
        <f t="shared" si="9"/>
        <v>0</v>
      </c>
      <c r="AB57" s="66">
        <f t="shared" si="10"/>
        <v>0</v>
      </c>
      <c r="AC57" s="66">
        <f t="shared" si="11"/>
        <v>0</v>
      </c>
      <c r="AD57" s="65">
        <f t="shared" si="12"/>
        <v>0</v>
      </c>
      <c r="AE57" s="66">
        <f t="shared" si="14"/>
        <v>0</v>
      </c>
      <c r="AF57" s="65">
        <f t="shared" si="13"/>
        <v>2762.6216249999998</v>
      </c>
      <c r="AG57" s="18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</row>
    <row r="58" spans="1:91" ht="22.5" customHeight="1" thickBot="1" thickTop="1">
      <c r="A58" s="27">
        <v>145</v>
      </c>
      <c r="B58" s="28">
        <v>55</v>
      </c>
      <c r="C58" s="20">
        <v>15170</v>
      </c>
      <c r="D58" s="20" t="s">
        <v>25</v>
      </c>
      <c r="E58" s="20">
        <v>1</v>
      </c>
      <c r="F58" s="20" t="s">
        <v>63</v>
      </c>
      <c r="G58" s="33">
        <v>0</v>
      </c>
      <c r="H58" s="33">
        <v>1</v>
      </c>
      <c r="I58" s="33">
        <v>0</v>
      </c>
      <c r="J58" s="33">
        <v>1</v>
      </c>
      <c r="K58" s="18">
        <v>0</v>
      </c>
      <c r="L58" s="18">
        <v>4</v>
      </c>
      <c r="M58" s="18">
        <v>1</v>
      </c>
      <c r="N58" s="33">
        <v>1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0">
        <v>2496.41</v>
      </c>
      <c r="U58" s="30"/>
      <c r="V58" s="30">
        <f>12787.51-T58</f>
        <v>10291.1</v>
      </c>
      <c r="W58" s="30"/>
      <c r="X58" s="31"/>
      <c r="Y58" s="31"/>
      <c r="Z58" s="65">
        <f t="shared" si="8"/>
        <v>2884.82625</v>
      </c>
      <c r="AA58" s="65">
        <f t="shared" si="9"/>
        <v>0</v>
      </c>
      <c r="AB58" s="65">
        <f t="shared" si="10"/>
        <v>0</v>
      </c>
      <c r="AC58" s="65">
        <f t="shared" si="11"/>
        <v>0</v>
      </c>
      <c r="AD58" s="65">
        <f t="shared" si="12"/>
        <v>0</v>
      </c>
      <c r="AE58" s="65">
        <f t="shared" si="14"/>
        <v>0</v>
      </c>
      <c r="AF58" s="65">
        <f t="shared" si="13"/>
        <v>2884.82625</v>
      </c>
      <c r="AG58" s="18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</row>
    <row r="59" spans="1:91" ht="22.5" customHeight="1" thickBot="1" thickTop="1">
      <c r="A59" s="27">
        <v>85</v>
      </c>
      <c r="B59" s="28">
        <v>56</v>
      </c>
      <c r="C59" s="20">
        <v>15168</v>
      </c>
      <c r="D59" s="20" t="s">
        <v>25</v>
      </c>
      <c r="E59" s="20">
        <v>1</v>
      </c>
      <c r="F59" s="20" t="s">
        <v>104</v>
      </c>
      <c r="G59" s="33">
        <v>0</v>
      </c>
      <c r="H59" s="33">
        <v>1</v>
      </c>
      <c r="I59" s="33">
        <v>0</v>
      </c>
      <c r="J59" s="33">
        <v>1</v>
      </c>
      <c r="K59" s="18">
        <v>0</v>
      </c>
      <c r="L59" s="18">
        <v>4</v>
      </c>
      <c r="M59" s="18">
        <v>1</v>
      </c>
      <c r="N59" s="33">
        <v>1</v>
      </c>
      <c r="O59" s="41">
        <v>0</v>
      </c>
      <c r="P59" s="41">
        <v>0</v>
      </c>
      <c r="Q59" s="33">
        <v>0</v>
      </c>
      <c r="R59" s="33">
        <v>0</v>
      </c>
      <c r="S59" s="41">
        <v>0</v>
      </c>
      <c r="T59" s="74">
        <f>12115.6+12266.23</f>
        <v>24381.83</v>
      </c>
      <c r="U59" s="30"/>
      <c r="V59" s="30"/>
      <c r="W59" s="30"/>
      <c r="X59" s="30"/>
      <c r="Y59" s="30"/>
      <c r="Z59" s="65">
        <f t="shared" si="8"/>
        <v>3047.72875</v>
      </c>
      <c r="AA59" s="65">
        <f t="shared" si="9"/>
        <v>0</v>
      </c>
      <c r="AB59" s="65">
        <f t="shared" si="10"/>
        <v>0</v>
      </c>
      <c r="AC59" s="65">
        <f t="shared" si="11"/>
        <v>0</v>
      </c>
      <c r="AD59" s="65">
        <f t="shared" si="12"/>
        <v>0</v>
      </c>
      <c r="AE59" s="65">
        <f t="shared" si="14"/>
        <v>0</v>
      </c>
      <c r="AF59" s="65">
        <f t="shared" si="13"/>
        <v>3047.72875</v>
      </c>
      <c r="AG59" s="18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</row>
    <row r="60" spans="1:91" ht="22.5" customHeight="1" thickBot="1" thickTop="1">
      <c r="A60" s="27"/>
      <c r="B60" s="28">
        <v>57</v>
      </c>
      <c r="C60" s="19">
        <v>15188</v>
      </c>
      <c r="D60" s="19" t="s">
        <v>24</v>
      </c>
      <c r="E60" s="19">
        <v>1</v>
      </c>
      <c r="F60" s="18" t="s">
        <v>66</v>
      </c>
      <c r="G60" s="18">
        <v>0</v>
      </c>
      <c r="H60" s="18">
        <v>1</v>
      </c>
      <c r="I60" s="18">
        <v>0</v>
      </c>
      <c r="J60" s="18">
        <v>1</v>
      </c>
      <c r="K60" s="18">
        <v>0</v>
      </c>
      <c r="L60" s="18">
        <v>3</v>
      </c>
      <c r="M60" s="18">
        <v>1</v>
      </c>
      <c r="N60" s="18">
        <v>1</v>
      </c>
      <c r="O60" s="18">
        <v>0</v>
      </c>
      <c r="P60" s="18">
        <v>0</v>
      </c>
      <c r="Q60" s="18">
        <v>1</v>
      </c>
      <c r="R60" s="18">
        <v>0</v>
      </c>
      <c r="S60" s="18">
        <v>0</v>
      </c>
      <c r="T60" s="30">
        <v>1501.49</v>
      </c>
      <c r="U60" s="30">
        <v>7636.83</v>
      </c>
      <c r="V60" s="30">
        <v>2500</v>
      </c>
      <c r="W60" s="30"/>
      <c r="X60" s="31"/>
      <c r="Y60" s="31"/>
      <c r="Z60" s="65">
        <f t="shared" si="8"/>
        <v>3247.3501666666666</v>
      </c>
      <c r="AA60" s="65">
        <f t="shared" si="9"/>
        <v>0</v>
      </c>
      <c r="AB60" s="65">
        <f t="shared" si="10"/>
        <v>0</v>
      </c>
      <c r="AC60" s="65">
        <f t="shared" si="11"/>
        <v>0</v>
      </c>
      <c r="AD60" s="65">
        <f t="shared" si="12"/>
        <v>0</v>
      </c>
      <c r="AE60" s="65">
        <f t="shared" si="14"/>
        <v>0</v>
      </c>
      <c r="AF60" s="65">
        <f t="shared" si="13"/>
        <v>3247.3501666666666</v>
      </c>
      <c r="AG60" s="18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</row>
    <row r="61" spans="1:91" ht="22.5" customHeight="1" thickBot="1" thickTop="1">
      <c r="A61" s="27">
        <v>39</v>
      </c>
      <c r="B61" s="28">
        <v>58</v>
      </c>
      <c r="C61" s="19">
        <v>15192</v>
      </c>
      <c r="D61" s="55" t="s">
        <v>25</v>
      </c>
      <c r="E61" s="19">
        <v>1</v>
      </c>
      <c r="F61" s="18" t="s">
        <v>45</v>
      </c>
      <c r="G61" s="18">
        <v>0</v>
      </c>
      <c r="H61" s="18">
        <v>1</v>
      </c>
      <c r="I61" s="18">
        <v>1</v>
      </c>
      <c r="J61" s="18">
        <v>1</v>
      </c>
      <c r="K61" s="18">
        <v>0</v>
      </c>
      <c r="L61" s="18">
        <v>4</v>
      </c>
      <c r="M61" s="18">
        <v>1</v>
      </c>
      <c r="N61" s="18">
        <v>1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30">
        <f>12710.04+931.83+160.22</f>
        <v>13802.09</v>
      </c>
      <c r="U61" s="30"/>
      <c r="V61" s="30">
        <f>6070.5+5622.5</f>
        <v>11693</v>
      </c>
      <c r="W61" s="30"/>
      <c r="X61" s="31"/>
      <c r="Y61" s="31"/>
      <c r="Z61" s="65">
        <f t="shared" si="8"/>
        <v>4648.51125</v>
      </c>
      <c r="AA61" s="65">
        <f t="shared" si="9"/>
        <v>0</v>
      </c>
      <c r="AB61" s="65">
        <f t="shared" si="10"/>
        <v>0</v>
      </c>
      <c r="AC61" s="65">
        <f t="shared" si="11"/>
        <v>0</v>
      </c>
      <c r="AD61" s="65">
        <f t="shared" si="12"/>
        <v>0</v>
      </c>
      <c r="AE61" s="65">
        <f t="shared" si="14"/>
        <v>1394.5533749999997</v>
      </c>
      <c r="AF61" s="65">
        <f t="shared" si="13"/>
        <v>3253.957875</v>
      </c>
      <c r="AG61" s="18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</row>
    <row r="62" spans="1:91" ht="22.5" customHeight="1" thickBot="1" thickTop="1">
      <c r="A62" s="27">
        <v>27</v>
      </c>
      <c r="B62" s="28">
        <v>59</v>
      </c>
      <c r="C62" s="20">
        <v>15246</v>
      </c>
      <c r="D62" s="20" t="s">
        <v>24</v>
      </c>
      <c r="E62" s="20">
        <v>1</v>
      </c>
      <c r="F62" s="20" t="s">
        <v>55</v>
      </c>
      <c r="G62" s="33">
        <v>0</v>
      </c>
      <c r="H62" s="33">
        <v>1</v>
      </c>
      <c r="I62" s="19">
        <v>0</v>
      </c>
      <c r="J62" s="33">
        <v>1</v>
      </c>
      <c r="K62" s="18">
        <v>0</v>
      </c>
      <c r="L62" s="18">
        <v>4</v>
      </c>
      <c r="M62" s="18">
        <v>1</v>
      </c>
      <c r="N62" s="33">
        <v>1</v>
      </c>
      <c r="O62" s="41">
        <v>0</v>
      </c>
      <c r="P62" s="33">
        <v>0</v>
      </c>
      <c r="Q62" s="33">
        <v>0</v>
      </c>
      <c r="R62" s="33">
        <v>0</v>
      </c>
      <c r="S62" s="19">
        <v>0</v>
      </c>
      <c r="T62" s="30">
        <f>1451.58+0.01+4900.91+1399.68</f>
        <v>7752.18</v>
      </c>
      <c r="U62" s="30">
        <v>26.95</v>
      </c>
      <c r="V62" s="30">
        <f>10662-1451.59</f>
        <v>9210.41</v>
      </c>
      <c r="W62" s="30"/>
      <c r="X62" s="30"/>
      <c r="Y62" s="30"/>
      <c r="Z62" s="65">
        <f t="shared" si="8"/>
        <v>3277.351875</v>
      </c>
      <c r="AA62" s="65">
        <f t="shared" si="9"/>
        <v>0</v>
      </c>
      <c r="AB62" s="65">
        <f t="shared" si="10"/>
        <v>0</v>
      </c>
      <c r="AC62" s="65">
        <f t="shared" si="11"/>
        <v>0</v>
      </c>
      <c r="AD62" s="65">
        <f t="shared" si="12"/>
        <v>0</v>
      </c>
      <c r="AE62" s="65">
        <f t="shared" si="14"/>
        <v>0</v>
      </c>
      <c r="AF62" s="65">
        <f t="shared" si="13"/>
        <v>3277.351875</v>
      </c>
      <c r="AG62" s="18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</row>
    <row r="63" spans="1:91" ht="19.5" thickBot="1" thickTop="1">
      <c r="A63" s="27"/>
      <c r="B63" s="28">
        <v>60</v>
      </c>
      <c r="C63" s="20">
        <v>15259</v>
      </c>
      <c r="D63" s="20" t="s">
        <v>25</v>
      </c>
      <c r="E63" s="20">
        <v>1</v>
      </c>
      <c r="F63" s="20" t="s">
        <v>68</v>
      </c>
      <c r="G63" s="28">
        <v>0</v>
      </c>
      <c r="H63" s="33">
        <v>1</v>
      </c>
      <c r="I63" s="33">
        <v>0</v>
      </c>
      <c r="J63" s="33">
        <v>1</v>
      </c>
      <c r="K63" s="28">
        <v>0</v>
      </c>
      <c r="L63" s="28">
        <v>3</v>
      </c>
      <c r="M63" s="33">
        <v>1</v>
      </c>
      <c r="N63" s="33">
        <v>1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4"/>
      <c r="U63" s="34">
        <v>135.79</v>
      </c>
      <c r="V63" s="34">
        <f>2500+7520-U63</f>
        <v>9884.21</v>
      </c>
      <c r="W63" s="34"/>
      <c r="X63" s="34"/>
      <c r="Y63" s="34"/>
      <c r="Z63" s="65">
        <f t="shared" si="8"/>
        <v>3333.2104999999997</v>
      </c>
      <c r="AA63" s="65">
        <f t="shared" si="9"/>
        <v>0</v>
      </c>
      <c r="AB63" s="65">
        <f t="shared" si="10"/>
        <v>0</v>
      </c>
      <c r="AC63" s="65">
        <f t="shared" si="11"/>
        <v>0</v>
      </c>
      <c r="AD63" s="65">
        <f t="shared" si="12"/>
        <v>0</v>
      </c>
      <c r="AE63" s="65">
        <f t="shared" si="14"/>
        <v>0</v>
      </c>
      <c r="AF63" s="65">
        <f t="shared" si="13"/>
        <v>3333.2104999999997</v>
      </c>
      <c r="AG63" s="18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</row>
    <row r="64" spans="1:91" ht="22.5" customHeight="1" thickBot="1" thickTop="1">
      <c r="A64" s="27"/>
      <c r="B64" s="28">
        <v>61</v>
      </c>
      <c r="C64" s="57">
        <v>15257</v>
      </c>
      <c r="D64" s="57" t="s">
        <v>24</v>
      </c>
      <c r="E64" s="57">
        <v>1</v>
      </c>
      <c r="F64" s="57" t="s">
        <v>65</v>
      </c>
      <c r="G64" s="58">
        <v>0</v>
      </c>
      <c r="H64" s="59">
        <v>1</v>
      </c>
      <c r="I64" s="59">
        <v>0</v>
      </c>
      <c r="J64" s="59">
        <v>1</v>
      </c>
      <c r="K64" s="58">
        <v>0</v>
      </c>
      <c r="L64" s="58">
        <v>3</v>
      </c>
      <c r="M64" s="59">
        <v>1</v>
      </c>
      <c r="N64" s="59">
        <v>1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60"/>
      <c r="U64" s="60">
        <f>340.93+82.69</f>
        <v>423.62</v>
      </c>
      <c r="V64" s="60">
        <f>5044+5100-U64</f>
        <v>9720.38</v>
      </c>
      <c r="W64" s="60"/>
      <c r="X64" s="35"/>
      <c r="Y64" s="35"/>
      <c r="Z64" s="67">
        <f t="shared" si="8"/>
        <v>3360.152333333333</v>
      </c>
      <c r="AA64" s="67">
        <f t="shared" si="9"/>
        <v>0</v>
      </c>
      <c r="AB64" s="67">
        <f t="shared" si="10"/>
        <v>0</v>
      </c>
      <c r="AC64" s="67">
        <f t="shared" si="11"/>
        <v>0</v>
      </c>
      <c r="AD64" s="67">
        <f t="shared" si="12"/>
        <v>0</v>
      </c>
      <c r="AE64" s="67">
        <f t="shared" si="14"/>
        <v>0</v>
      </c>
      <c r="AF64" s="67">
        <f t="shared" si="13"/>
        <v>3360.152333333333</v>
      </c>
      <c r="AG64" s="18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</row>
    <row r="65" spans="1:91" ht="22.5" customHeight="1" thickBot="1" thickTop="1">
      <c r="A65" s="27"/>
      <c r="B65" s="28">
        <v>62</v>
      </c>
      <c r="C65" s="20">
        <v>2394</v>
      </c>
      <c r="D65" s="71" t="s">
        <v>23</v>
      </c>
      <c r="E65" s="20">
        <v>1</v>
      </c>
      <c r="F65" s="20" t="s">
        <v>106</v>
      </c>
      <c r="G65" s="28">
        <v>0</v>
      </c>
      <c r="H65" s="33">
        <v>1</v>
      </c>
      <c r="I65" s="33">
        <v>0</v>
      </c>
      <c r="J65" s="33">
        <v>1</v>
      </c>
      <c r="K65" s="28">
        <v>0</v>
      </c>
      <c r="L65" s="28">
        <v>5</v>
      </c>
      <c r="M65" s="33">
        <v>1</v>
      </c>
      <c r="N65" s="33">
        <v>1</v>
      </c>
      <c r="O65" s="33">
        <v>1</v>
      </c>
      <c r="P65" s="33">
        <v>0</v>
      </c>
      <c r="Q65" s="33">
        <v>1</v>
      </c>
      <c r="R65" s="33">
        <v>0</v>
      </c>
      <c r="S65" s="33">
        <v>0</v>
      </c>
      <c r="T65" s="34">
        <f>22013.68+19221.94</f>
        <v>41235.619999999995</v>
      </c>
      <c r="U65" s="34"/>
      <c r="V65" s="34">
        <v>3529.2</v>
      </c>
      <c r="W65" s="34"/>
      <c r="X65" s="34"/>
      <c r="Y65" s="34"/>
      <c r="Z65" s="65">
        <f t="shared" si="8"/>
        <v>4829.402</v>
      </c>
      <c r="AA65" s="65">
        <f t="shared" si="9"/>
        <v>1448.8206</v>
      </c>
      <c r="AB65" s="65">
        <f t="shared" si="10"/>
        <v>0</v>
      </c>
      <c r="AC65" s="65">
        <f t="shared" si="11"/>
        <v>0</v>
      </c>
      <c r="AD65" s="65">
        <f t="shared" si="12"/>
        <v>0</v>
      </c>
      <c r="AE65" s="65">
        <f t="shared" si="14"/>
        <v>0</v>
      </c>
      <c r="AF65" s="65">
        <f t="shared" si="13"/>
        <v>3380.5814</v>
      </c>
      <c r="AG65" s="18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</row>
    <row r="66" spans="1:91" ht="22.5" customHeight="1" thickBot="1" thickTop="1">
      <c r="A66" s="27"/>
      <c r="B66" s="28">
        <v>63</v>
      </c>
      <c r="C66" s="20">
        <v>15140</v>
      </c>
      <c r="D66" s="20" t="s">
        <v>25</v>
      </c>
      <c r="E66" s="20">
        <v>1</v>
      </c>
      <c r="F66" s="20" t="s">
        <v>53</v>
      </c>
      <c r="G66" s="33">
        <v>0</v>
      </c>
      <c r="H66" s="33">
        <v>1</v>
      </c>
      <c r="I66" s="33">
        <v>0</v>
      </c>
      <c r="J66" s="33">
        <v>1</v>
      </c>
      <c r="K66" s="18">
        <v>0</v>
      </c>
      <c r="L66" s="18">
        <v>3</v>
      </c>
      <c r="M66" s="18">
        <v>1</v>
      </c>
      <c r="N66" s="33">
        <v>1</v>
      </c>
      <c r="O66" s="33">
        <v>0</v>
      </c>
      <c r="P66" s="33">
        <v>0</v>
      </c>
      <c r="Q66" s="33">
        <v>0</v>
      </c>
      <c r="R66" s="33">
        <v>0</v>
      </c>
      <c r="S66" s="19">
        <v>1</v>
      </c>
      <c r="T66" s="30">
        <f>10776+15.87+2.8+18162.66+39.1+6.88</f>
        <v>29003.31</v>
      </c>
      <c r="U66" s="30">
        <v>396.01</v>
      </c>
      <c r="V66" s="30">
        <v>190</v>
      </c>
      <c r="W66" s="30"/>
      <c r="X66" s="30"/>
      <c r="Y66" s="30"/>
      <c r="Z66" s="65">
        <f t="shared" si="8"/>
        <v>5009.421166666667</v>
      </c>
      <c r="AA66" s="65">
        <f t="shared" si="9"/>
        <v>0</v>
      </c>
      <c r="AB66" s="65">
        <f t="shared" si="10"/>
        <v>0</v>
      </c>
      <c r="AC66" s="65">
        <f t="shared" si="11"/>
        <v>0</v>
      </c>
      <c r="AD66" s="65">
        <f t="shared" si="12"/>
        <v>1502.82635</v>
      </c>
      <c r="AE66" s="65">
        <f t="shared" si="14"/>
        <v>0</v>
      </c>
      <c r="AF66" s="65">
        <f t="shared" si="13"/>
        <v>3506.5948166666667</v>
      </c>
      <c r="AG66" s="36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</row>
    <row r="67" spans="1:91" ht="22.5" customHeight="1" thickBot="1" thickTop="1">
      <c r="A67" s="27"/>
      <c r="B67" s="28">
        <v>64</v>
      </c>
      <c r="C67" s="19">
        <v>2312</v>
      </c>
      <c r="D67" s="55" t="s">
        <v>23</v>
      </c>
      <c r="E67" s="19">
        <v>1</v>
      </c>
      <c r="F67" s="18" t="s">
        <v>46</v>
      </c>
      <c r="G67" s="18">
        <v>0</v>
      </c>
      <c r="H67" s="18">
        <v>1</v>
      </c>
      <c r="I67" s="18">
        <v>0</v>
      </c>
      <c r="J67" s="18">
        <v>1</v>
      </c>
      <c r="K67" s="18">
        <v>0</v>
      </c>
      <c r="L67" s="18">
        <v>5</v>
      </c>
      <c r="M67" s="18">
        <v>1</v>
      </c>
      <c r="N67" s="18">
        <v>1</v>
      </c>
      <c r="O67" s="18">
        <v>0</v>
      </c>
      <c r="P67" s="18">
        <v>0</v>
      </c>
      <c r="Q67" s="18">
        <v>1</v>
      </c>
      <c r="R67" s="18">
        <v>0</v>
      </c>
      <c r="S67" s="18">
        <v>0</v>
      </c>
      <c r="T67" s="30">
        <f>17326.11+19144.33</f>
        <v>36470.44</v>
      </c>
      <c r="U67" s="30"/>
      <c r="V67" s="30">
        <f>11775-11326.11</f>
        <v>448.8899999999994</v>
      </c>
      <c r="W67" s="30"/>
      <c r="X67" s="31"/>
      <c r="Y67" s="31"/>
      <c r="Z67" s="65">
        <f aca="true" t="shared" si="15" ref="Z67:Z77">((T67*50%+U67*85%+V67)/L67)+W67</f>
        <v>3736.822</v>
      </c>
      <c r="AA67" s="65">
        <f aca="true" t="shared" si="16" ref="AA67:AA77">IF(O67=1,Z67*30%,0)</f>
        <v>0</v>
      </c>
      <c r="AB67" s="65">
        <f aca="true" t="shared" si="17" ref="AB67:AB77">IF(K67=1,Z67*20%,0)</f>
        <v>0</v>
      </c>
      <c r="AC67" s="65">
        <f aca="true" t="shared" si="18" ref="AC67:AC77">IF(R67=1,Z67*10%,0)</f>
        <v>0</v>
      </c>
      <c r="AD67" s="65">
        <f aca="true" t="shared" si="19" ref="AD67:AD77">IF(S67=1,Z67*30%,0)</f>
        <v>0</v>
      </c>
      <c r="AE67" s="65">
        <f t="shared" si="14"/>
        <v>0</v>
      </c>
      <c r="AF67" s="65">
        <f aca="true" t="shared" si="20" ref="AF67:AF77">Z67-AA67-AB67-AC67-AD67-AE67</f>
        <v>3736.822</v>
      </c>
      <c r="AG67" s="18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</row>
    <row r="68" spans="1:91" ht="22.5" customHeight="1" thickBot="1" thickTop="1">
      <c r="A68" s="27">
        <v>95</v>
      </c>
      <c r="B68" s="28">
        <v>65</v>
      </c>
      <c r="C68" s="20">
        <v>15183</v>
      </c>
      <c r="D68" s="51" t="s">
        <v>24</v>
      </c>
      <c r="E68" s="51">
        <v>1</v>
      </c>
      <c r="F68" s="51" t="s">
        <v>87</v>
      </c>
      <c r="G68" s="48">
        <v>0</v>
      </c>
      <c r="H68" s="48">
        <v>1</v>
      </c>
      <c r="I68" s="48">
        <v>0</v>
      </c>
      <c r="J68" s="48">
        <v>1</v>
      </c>
      <c r="K68" s="23">
        <v>0</v>
      </c>
      <c r="L68" s="23">
        <v>4</v>
      </c>
      <c r="M68" s="23">
        <v>1</v>
      </c>
      <c r="N68" s="48">
        <v>1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75">
        <f>13742.55+1.53+0.23</f>
        <v>13744.31</v>
      </c>
      <c r="U68" s="52"/>
      <c r="V68" s="52">
        <f>702.71+7585</f>
        <v>8287.71</v>
      </c>
      <c r="W68" s="52"/>
      <c r="X68" s="62"/>
      <c r="Y68" s="62"/>
      <c r="Z68" s="66">
        <f t="shared" si="15"/>
        <v>3789.9662499999995</v>
      </c>
      <c r="AA68" s="66">
        <f t="shared" si="16"/>
        <v>0</v>
      </c>
      <c r="AB68" s="66">
        <f t="shared" si="17"/>
        <v>0</v>
      </c>
      <c r="AC68" s="66">
        <f t="shared" si="18"/>
        <v>0</v>
      </c>
      <c r="AD68" s="66">
        <f t="shared" si="19"/>
        <v>0</v>
      </c>
      <c r="AE68" s="66">
        <f t="shared" si="14"/>
        <v>0</v>
      </c>
      <c r="AF68" s="66">
        <f t="shared" si="20"/>
        <v>3789.9662499999995</v>
      </c>
      <c r="AG68" s="41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</row>
    <row r="69" spans="1:91" ht="19.5" thickBot="1" thickTop="1">
      <c r="A69" s="37"/>
      <c r="B69" s="28">
        <v>66</v>
      </c>
      <c r="C69" s="19">
        <v>15158</v>
      </c>
      <c r="D69" s="19" t="s">
        <v>24</v>
      </c>
      <c r="E69" s="19">
        <v>1</v>
      </c>
      <c r="F69" s="19" t="s">
        <v>41</v>
      </c>
      <c r="G69" s="28">
        <v>0</v>
      </c>
      <c r="H69" s="28">
        <v>1</v>
      </c>
      <c r="I69" s="19">
        <v>0</v>
      </c>
      <c r="J69" s="28">
        <v>1</v>
      </c>
      <c r="K69" s="18">
        <v>0</v>
      </c>
      <c r="L69" s="18">
        <v>4</v>
      </c>
      <c r="M69" s="18">
        <v>1</v>
      </c>
      <c r="N69" s="28">
        <v>1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30">
        <v>21448.68</v>
      </c>
      <c r="U69" s="30"/>
      <c r="V69" s="30">
        <v>4500</v>
      </c>
      <c r="W69" s="30"/>
      <c r="X69" s="31"/>
      <c r="Y69" s="31"/>
      <c r="Z69" s="65">
        <f t="shared" si="15"/>
        <v>3806.085</v>
      </c>
      <c r="AA69" s="65">
        <f t="shared" si="16"/>
        <v>0</v>
      </c>
      <c r="AB69" s="65">
        <f t="shared" si="17"/>
        <v>0</v>
      </c>
      <c r="AC69" s="65">
        <f t="shared" si="18"/>
        <v>0</v>
      </c>
      <c r="AD69" s="65">
        <f t="shared" si="19"/>
        <v>0</v>
      </c>
      <c r="AE69" s="65">
        <f t="shared" si="14"/>
        <v>0</v>
      </c>
      <c r="AF69" s="65">
        <f t="shared" si="20"/>
        <v>3806.085</v>
      </c>
      <c r="AG69" s="41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1"/>
    </row>
    <row r="70" spans="1:91" ht="19.5" thickBot="1" thickTop="1">
      <c r="A70" s="27">
        <v>47</v>
      </c>
      <c r="B70" s="28">
        <v>67</v>
      </c>
      <c r="C70" s="20">
        <v>15135</v>
      </c>
      <c r="D70" s="20" t="s">
        <v>25</v>
      </c>
      <c r="E70" s="20">
        <v>1</v>
      </c>
      <c r="F70" s="20" t="s">
        <v>94</v>
      </c>
      <c r="G70" s="33">
        <v>0</v>
      </c>
      <c r="H70" s="33">
        <v>1</v>
      </c>
      <c r="I70" s="33">
        <v>0</v>
      </c>
      <c r="J70" s="33">
        <v>1</v>
      </c>
      <c r="K70" s="18">
        <v>0</v>
      </c>
      <c r="L70" s="18">
        <v>4</v>
      </c>
      <c r="M70" s="18">
        <v>1</v>
      </c>
      <c r="N70" s="33">
        <v>1</v>
      </c>
      <c r="O70" s="20">
        <v>0</v>
      </c>
      <c r="P70" s="33">
        <v>0</v>
      </c>
      <c r="Q70" s="33">
        <v>0</v>
      </c>
      <c r="R70" s="33">
        <v>0</v>
      </c>
      <c r="S70" s="33">
        <v>0</v>
      </c>
      <c r="T70" s="30">
        <f>21107.53+11181.79</f>
        <v>32289.32</v>
      </c>
      <c r="U70" s="30"/>
      <c r="V70" s="30"/>
      <c r="W70" s="30"/>
      <c r="X70" s="30"/>
      <c r="Y70" s="30"/>
      <c r="Z70" s="65">
        <f t="shared" si="15"/>
        <v>4036.165</v>
      </c>
      <c r="AA70" s="65">
        <f t="shared" si="16"/>
        <v>0</v>
      </c>
      <c r="AB70" s="65">
        <f t="shared" si="17"/>
        <v>0</v>
      </c>
      <c r="AC70" s="65">
        <f t="shared" si="18"/>
        <v>0</v>
      </c>
      <c r="AD70" s="65">
        <f t="shared" si="19"/>
        <v>0</v>
      </c>
      <c r="AE70" s="65">
        <f t="shared" si="14"/>
        <v>0</v>
      </c>
      <c r="AF70" s="65">
        <f t="shared" si="20"/>
        <v>4036.165</v>
      </c>
      <c r="AG70" s="50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1"/>
    </row>
    <row r="71" spans="1:91" ht="22.5" customHeight="1" thickBot="1" thickTop="1">
      <c r="A71" s="27">
        <v>118</v>
      </c>
      <c r="B71" s="28">
        <v>68</v>
      </c>
      <c r="C71" s="20">
        <v>15166</v>
      </c>
      <c r="D71" s="20" t="s">
        <v>25</v>
      </c>
      <c r="E71" s="20">
        <v>1</v>
      </c>
      <c r="F71" s="20" t="s">
        <v>62</v>
      </c>
      <c r="G71" s="47">
        <v>0</v>
      </c>
      <c r="H71" s="48">
        <v>1</v>
      </c>
      <c r="I71" s="48">
        <v>1</v>
      </c>
      <c r="J71" s="48">
        <v>1</v>
      </c>
      <c r="K71" s="47">
        <v>0</v>
      </c>
      <c r="L71" s="47">
        <v>4</v>
      </c>
      <c r="M71" s="48">
        <v>1</v>
      </c>
      <c r="N71" s="48">
        <v>1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9">
        <f>17537.99+3450.32</f>
        <v>20988.31</v>
      </c>
      <c r="U71" s="49"/>
      <c r="V71" s="49">
        <f>24896.34+9472.23-T71</f>
        <v>13380.259999999998</v>
      </c>
      <c r="W71" s="49"/>
      <c r="X71" s="49"/>
      <c r="Y71" s="49"/>
      <c r="Z71" s="66">
        <f t="shared" si="15"/>
        <v>5968.60375</v>
      </c>
      <c r="AA71" s="66">
        <f t="shared" si="16"/>
        <v>0</v>
      </c>
      <c r="AB71" s="66">
        <f t="shared" si="17"/>
        <v>0</v>
      </c>
      <c r="AC71" s="66">
        <f t="shared" si="18"/>
        <v>0</v>
      </c>
      <c r="AD71" s="66">
        <f t="shared" si="19"/>
        <v>0</v>
      </c>
      <c r="AE71" s="66">
        <f t="shared" si="14"/>
        <v>1790.581125</v>
      </c>
      <c r="AF71" s="66">
        <f t="shared" si="20"/>
        <v>4178.0226250000005</v>
      </c>
      <c r="AG71" s="50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1"/>
    </row>
    <row r="72" spans="1:91" ht="22.5" customHeight="1" thickBot="1" thickTop="1">
      <c r="A72" s="27">
        <v>52</v>
      </c>
      <c r="B72" s="28">
        <v>69</v>
      </c>
      <c r="C72" s="20">
        <v>15222</v>
      </c>
      <c r="D72" s="20" t="s">
        <v>24</v>
      </c>
      <c r="E72" s="20">
        <v>1</v>
      </c>
      <c r="F72" s="20" t="s">
        <v>49</v>
      </c>
      <c r="G72" s="47">
        <v>0</v>
      </c>
      <c r="H72" s="48">
        <v>1</v>
      </c>
      <c r="I72" s="48">
        <v>0</v>
      </c>
      <c r="J72" s="48">
        <v>1</v>
      </c>
      <c r="K72" s="47">
        <v>0</v>
      </c>
      <c r="L72" s="47">
        <v>4</v>
      </c>
      <c r="M72" s="48">
        <v>1</v>
      </c>
      <c r="N72" s="48">
        <v>1</v>
      </c>
      <c r="O72" s="48">
        <v>0</v>
      </c>
      <c r="P72" s="48">
        <v>0</v>
      </c>
      <c r="Q72" s="48">
        <v>1</v>
      </c>
      <c r="R72" s="48">
        <v>0</v>
      </c>
      <c r="S72" s="48">
        <v>0</v>
      </c>
      <c r="T72" s="49">
        <f>15896.82+768.9</f>
        <v>16665.72</v>
      </c>
      <c r="U72" s="49"/>
      <c r="V72" s="49">
        <f>10340-768.9</f>
        <v>9571.1</v>
      </c>
      <c r="W72" s="49"/>
      <c r="X72" s="49"/>
      <c r="Y72" s="49"/>
      <c r="Z72" s="66">
        <f t="shared" si="15"/>
        <v>4475.99</v>
      </c>
      <c r="AA72" s="66">
        <f t="shared" si="16"/>
        <v>0</v>
      </c>
      <c r="AB72" s="66">
        <f t="shared" si="17"/>
        <v>0</v>
      </c>
      <c r="AC72" s="66">
        <f t="shared" si="18"/>
        <v>0</v>
      </c>
      <c r="AD72" s="66">
        <f t="shared" si="19"/>
        <v>0</v>
      </c>
      <c r="AE72" s="66">
        <f t="shared" si="14"/>
        <v>0</v>
      </c>
      <c r="AF72" s="66">
        <f t="shared" si="20"/>
        <v>4475.99</v>
      </c>
      <c r="AG72" s="41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1"/>
    </row>
    <row r="73" spans="1:91" ht="19.5" thickBot="1" thickTop="1">
      <c r="A73" s="27"/>
      <c r="B73" s="28">
        <v>70</v>
      </c>
      <c r="C73" s="20">
        <v>15177</v>
      </c>
      <c r="D73" s="20" t="s">
        <v>25</v>
      </c>
      <c r="E73" s="20">
        <v>1</v>
      </c>
      <c r="F73" s="20" t="s">
        <v>105</v>
      </c>
      <c r="G73" s="28">
        <v>0</v>
      </c>
      <c r="H73" s="33">
        <v>1</v>
      </c>
      <c r="I73" s="33">
        <v>0</v>
      </c>
      <c r="J73" s="33">
        <v>1</v>
      </c>
      <c r="K73" s="28">
        <v>0</v>
      </c>
      <c r="L73" s="28">
        <v>4</v>
      </c>
      <c r="M73" s="33">
        <v>1</v>
      </c>
      <c r="N73" s="33">
        <v>1</v>
      </c>
      <c r="O73" s="33">
        <v>0</v>
      </c>
      <c r="P73" s="33">
        <v>0</v>
      </c>
      <c r="Q73" s="33">
        <v>1</v>
      </c>
      <c r="R73" s="33">
        <v>1</v>
      </c>
      <c r="S73" s="33">
        <v>0</v>
      </c>
      <c r="T73" s="34"/>
      <c r="U73" s="34"/>
      <c r="V73" s="34">
        <v>20512.42</v>
      </c>
      <c r="W73" s="34"/>
      <c r="X73" s="35"/>
      <c r="Y73" s="35"/>
      <c r="Z73" s="65">
        <f t="shared" si="15"/>
        <v>5128.105</v>
      </c>
      <c r="AA73" s="65">
        <f t="shared" si="16"/>
        <v>0</v>
      </c>
      <c r="AB73" s="65">
        <f t="shared" si="17"/>
        <v>0</v>
      </c>
      <c r="AC73" s="65">
        <f t="shared" si="18"/>
        <v>512.8104999999999</v>
      </c>
      <c r="AD73" s="65">
        <f t="shared" si="19"/>
        <v>0</v>
      </c>
      <c r="AE73" s="65">
        <f t="shared" si="14"/>
        <v>0</v>
      </c>
      <c r="AF73" s="65">
        <f t="shared" si="20"/>
        <v>4615.2945</v>
      </c>
      <c r="AG73" s="18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1"/>
    </row>
    <row r="74" spans="1:91" ht="19.5" thickBot="1" thickTop="1">
      <c r="A74" s="27"/>
      <c r="B74" s="28">
        <v>71</v>
      </c>
      <c r="C74" s="20">
        <v>15237</v>
      </c>
      <c r="D74" s="20" t="s">
        <v>24</v>
      </c>
      <c r="E74" s="20">
        <v>1</v>
      </c>
      <c r="F74" s="20" t="s">
        <v>109</v>
      </c>
      <c r="G74" s="33">
        <v>0</v>
      </c>
      <c r="H74" s="41">
        <v>1</v>
      </c>
      <c r="I74" s="41">
        <v>0</v>
      </c>
      <c r="J74" s="41">
        <v>1</v>
      </c>
      <c r="K74" s="18">
        <v>0</v>
      </c>
      <c r="L74" s="18">
        <v>3</v>
      </c>
      <c r="M74" s="18">
        <v>1</v>
      </c>
      <c r="N74" s="41">
        <v>1</v>
      </c>
      <c r="O74" s="33">
        <v>0</v>
      </c>
      <c r="P74" s="33">
        <v>0</v>
      </c>
      <c r="Q74" s="33">
        <v>0</v>
      </c>
      <c r="R74" s="33">
        <v>0</v>
      </c>
      <c r="S74" s="33">
        <v>1</v>
      </c>
      <c r="T74" s="30">
        <f>2359.98+4206.06+630.91+25909.38</f>
        <v>33106.33</v>
      </c>
      <c r="U74" s="30"/>
      <c r="V74" s="30">
        <f>10780-2359.98-4206.06-630.91</f>
        <v>3583.05</v>
      </c>
      <c r="W74" s="30"/>
      <c r="X74" s="31"/>
      <c r="Y74" s="31"/>
      <c r="Z74" s="65">
        <f t="shared" si="15"/>
        <v>6712.071666666667</v>
      </c>
      <c r="AA74" s="65">
        <f t="shared" si="16"/>
        <v>0</v>
      </c>
      <c r="AB74" s="65">
        <f t="shared" si="17"/>
        <v>0</v>
      </c>
      <c r="AC74" s="65">
        <f t="shared" si="18"/>
        <v>0</v>
      </c>
      <c r="AD74" s="65">
        <f t="shared" si="19"/>
        <v>2013.6215</v>
      </c>
      <c r="AE74" s="65">
        <f t="shared" si="14"/>
        <v>0</v>
      </c>
      <c r="AF74" s="65">
        <f t="shared" si="20"/>
        <v>4698.4501666666665</v>
      </c>
      <c r="AG74" s="18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1"/>
    </row>
    <row r="75" spans="1:91" ht="27.75" thickBot="1" thickTop="1">
      <c r="A75" s="27">
        <v>131</v>
      </c>
      <c r="B75" s="28">
        <v>72</v>
      </c>
      <c r="C75" s="19">
        <v>2300</v>
      </c>
      <c r="D75" s="55" t="s">
        <v>23</v>
      </c>
      <c r="E75" s="19">
        <v>1</v>
      </c>
      <c r="F75" s="18" t="s">
        <v>90</v>
      </c>
      <c r="G75" s="18">
        <v>0</v>
      </c>
      <c r="H75" s="18">
        <v>1</v>
      </c>
      <c r="I75" s="18">
        <v>0</v>
      </c>
      <c r="J75" s="18">
        <v>1</v>
      </c>
      <c r="K75" s="18">
        <v>0</v>
      </c>
      <c r="L75" s="18">
        <v>4</v>
      </c>
      <c r="M75" s="18">
        <v>1</v>
      </c>
      <c r="N75" s="18">
        <v>1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30">
        <f>18520.1+0.43+0.06+0.19</f>
        <v>18520.78</v>
      </c>
      <c r="U75" s="30"/>
      <c r="V75" s="30">
        <f>238.59+10230-0.19</f>
        <v>10468.4</v>
      </c>
      <c r="W75" s="30"/>
      <c r="X75" s="30"/>
      <c r="Y75" s="30"/>
      <c r="Z75" s="65">
        <f t="shared" si="15"/>
        <v>4932.1975</v>
      </c>
      <c r="AA75" s="65">
        <f t="shared" si="16"/>
        <v>0</v>
      </c>
      <c r="AB75" s="65">
        <f t="shared" si="17"/>
        <v>0</v>
      </c>
      <c r="AC75" s="65">
        <f t="shared" si="18"/>
        <v>0</v>
      </c>
      <c r="AD75" s="65">
        <f t="shared" si="19"/>
        <v>0</v>
      </c>
      <c r="AE75" s="65">
        <f t="shared" si="14"/>
        <v>0</v>
      </c>
      <c r="AF75" s="65">
        <f t="shared" si="20"/>
        <v>4932.1975</v>
      </c>
      <c r="AG75" s="18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1"/>
    </row>
    <row r="76" spans="1:91" s="39" customFormat="1" ht="19.5" thickBot="1" thickTop="1">
      <c r="A76" s="37">
        <v>148</v>
      </c>
      <c r="B76" s="28">
        <v>73</v>
      </c>
      <c r="C76" s="20">
        <v>15271</v>
      </c>
      <c r="D76" s="20" t="s">
        <v>25</v>
      </c>
      <c r="E76" s="20">
        <v>1</v>
      </c>
      <c r="F76" s="20" t="s">
        <v>85</v>
      </c>
      <c r="G76" s="33">
        <v>0</v>
      </c>
      <c r="H76" s="33">
        <v>1</v>
      </c>
      <c r="I76" s="33">
        <v>1</v>
      </c>
      <c r="J76" s="33">
        <v>1</v>
      </c>
      <c r="K76" s="18">
        <v>0</v>
      </c>
      <c r="L76" s="18">
        <v>4</v>
      </c>
      <c r="M76" s="18">
        <v>1</v>
      </c>
      <c r="N76" s="33">
        <v>1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0">
        <f>14635.58+2967.03+848.76</f>
        <v>18451.37</v>
      </c>
      <c r="U76" s="30"/>
      <c r="V76" s="30">
        <f>10985-2967.03-848.76</f>
        <v>7169.209999999999</v>
      </c>
      <c r="W76" s="30">
        <v>3000</v>
      </c>
      <c r="X76" s="30"/>
      <c r="Y76" s="30"/>
      <c r="Z76" s="65">
        <f t="shared" si="15"/>
        <v>7098.723749999999</v>
      </c>
      <c r="AA76" s="65">
        <f t="shared" si="16"/>
        <v>0</v>
      </c>
      <c r="AB76" s="65">
        <f t="shared" si="17"/>
        <v>0</v>
      </c>
      <c r="AC76" s="65">
        <f t="shared" si="18"/>
        <v>0</v>
      </c>
      <c r="AD76" s="65">
        <f t="shared" si="19"/>
        <v>0</v>
      </c>
      <c r="AE76" s="65">
        <f t="shared" si="14"/>
        <v>2129.6171249999998</v>
      </c>
      <c r="AF76" s="65">
        <f t="shared" si="20"/>
        <v>4969.106624999999</v>
      </c>
      <c r="AG76" s="50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</row>
    <row r="77" spans="1:90" s="39" customFormat="1" ht="19.5" thickBot="1" thickTop="1">
      <c r="A77" s="27"/>
      <c r="B77" s="28">
        <v>74</v>
      </c>
      <c r="C77" s="20">
        <v>15262</v>
      </c>
      <c r="D77" s="20" t="s">
        <v>24</v>
      </c>
      <c r="E77" s="20">
        <v>1</v>
      </c>
      <c r="F77" s="20" t="s">
        <v>58</v>
      </c>
      <c r="G77" s="28">
        <v>0</v>
      </c>
      <c r="H77" s="33">
        <v>1</v>
      </c>
      <c r="I77" s="33">
        <v>0</v>
      </c>
      <c r="J77" s="33">
        <v>1</v>
      </c>
      <c r="K77" s="28">
        <v>0</v>
      </c>
      <c r="L77" s="28">
        <v>4</v>
      </c>
      <c r="M77" s="33">
        <v>1</v>
      </c>
      <c r="N77" s="33">
        <v>1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4"/>
      <c r="U77" s="34">
        <v>2105.49</v>
      </c>
      <c r="V77" s="34">
        <f>14685+6565-U77</f>
        <v>19144.510000000002</v>
      </c>
      <c r="W77" s="34"/>
      <c r="X77" s="63"/>
      <c r="Y77" s="63"/>
      <c r="Z77" s="65">
        <f t="shared" si="15"/>
        <v>5233.544125</v>
      </c>
      <c r="AA77" s="65">
        <f t="shared" si="16"/>
        <v>0</v>
      </c>
      <c r="AB77" s="65">
        <f t="shared" si="17"/>
        <v>0</v>
      </c>
      <c r="AC77" s="65">
        <f t="shared" si="18"/>
        <v>0</v>
      </c>
      <c r="AD77" s="65">
        <f t="shared" si="19"/>
        <v>0</v>
      </c>
      <c r="AE77" s="65">
        <f t="shared" si="14"/>
        <v>0</v>
      </c>
      <c r="AF77" s="65">
        <f t="shared" si="20"/>
        <v>5233.544125</v>
      </c>
      <c r="AG77" s="18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</row>
    <row r="78" spans="1:91" ht="22.5" customHeight="1" thickBot="1" thickTop="1">
      <c r="A78" s="27"/>
      <c r="B78" s="28">
        <v>75</v>
      </c>
      <c r="C78" s="19">
        <v>2305</v>
      </c>
      <c r="D78" s="73" t="s">
        <v>23</v>
      </c>
      <c r="E78" s="19">
        <v>1</v>
      </c>
      <c r="F78" s="18" t="s">
        <v>80</v>
      </c>
      <c r="G78" s="18">
        <v>0</v>
      </c>
      <c r="H78" s="18">
        <v>1</v>
      </c>
      <c r="I78" s="18">
        <v>1</v>
      </c>
      <c r="J78" s="18">
        <v>1</v>
      </c>
      <c r="K78" s="18">
        <v>0</v>
      </c>
      <c r="L78" s="18">
        <v>2</v>
      </c>
      <c r="M78" s="18">
        <v>1</v>
      </c>
      <c r="N78" s="18">
        <v>1</v>
      </c>
      <c r="O78" s="18">
        <v>0</v>
      </c>
      <c r="P78" s="18">
        <v>0</v>
      </c>
      <c r="Q78" s="18">
        <v>0</v>
      </c>
      <c r="R78" s="18">
        <v>1</v>
      </c>
      <c r="S78" s="18">
        <v>0</v>
      </c>
      <c r="T78" s="30">
        <v>12880.02</v>
      </c>
      <c r="U78" s="30"/>
      <c r="V78" s="30">
        <v>11571.62</v>
      </c>
      <c r="W78" s="30"/>
      <c r="X78" s="31"/>
      <c r="Y78" s="31"/>
      <c r="Z78" s="65">
        <f>((T78*50%+U78*85%+V78)/L78)+W78</f>
        <v>9005.815</v>
      </c>
      <c r="AA78" s="65">
        <f>IF(O78=1,Z78*30%,0)</f>
        <v>0</v>
      </c>
      <c r="AB78" s="65">
        <f>IF(K78=1,Z78*20%,0)</f>
        <v>0</v>
      </c>
      <c r="AC78" s="65">
        <f>IF(R78=1,Z78*10%,0)</f>
        <v>900.5815000000001</v>
      </c>
      <c r="AD78" s="65">
        <f>IF(S78=1,Z78*30%,0)</f>
        <v>0</v>
      </c>
      <c r="AE78" s="65">
        <f>IF(I78=1,Z78*30%,0)</f>
        <v>2701.7445000000002</v>
      </c>
      <c r="AF78" s="65">
        <f>Z78-AA78-AB78-AC78-AD78-AE78</f>
        <v>5403.489</v>
      </c>
      <c r="AG78" s="40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1"/>
    </row>
    <row r="79" spans="1:90" s="39" customFormat="1" ht="19.5" thickBot="1" thickTop="1">
      <c r="A79" s="27"/>
      <c r="B79" s="28"/>
      <c r="C79" s="20"/>
      <c r="D79" s="20"/>
      <c r="E79" s="20"/>
      <c r="F79" s="20"/>
      <c r="G79" s="28"/>
      <c r="H79" s="33"/>
      <c r="I79" s="33"/>
      <c r="J79" s="33"/>
      <c r="K79" s="28"/>
      <c r="L79" s="28"/>
      <c r="M79" s="33"/>
      <c r="N79" s="33"/>
      <c r="O79" s="33"/>
      <c r="P79" s="33"/>
      <c r="Q79" s="33"/>
      <c r="R79" s="33"/>
      <c r="S79" s="33"/>
      <c r="T79" s="34"/>
      <c r="U79" s="34"/>
      <c r="V79" s="34"/>
      <c r="W79" s="34"/>
      <c r="X79" s="63"/>
      <c r="Y79" s="63"/>
      <c r="Z79" s="65"/>
      <c r="AA79" s="65"/>
      <c r="AB79" s="65"/>
      <c r="AC79" s="65"/>
      <c r="AD79" s="65"/>
      <c r="AE79" s="65"/>
      <c r="AF79" s="65"/>
      <c r="AG79" s="18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</row>
    <row r="80" spans="1:90" s="96" customFormat="1" ht="21.75" thickBot="1" thickTop="1">
      <c r="A80" s="87"/>
      <c r="B80" s="88"/>
      <c r="C80" s="89" t="s">
        <v>111</v>
      </c>
      <c r="D80" s="89"/>
      <c r="E80" s="89"/>
      <c r="F80" s="89"/>
      <c r="G80" s="88"/>
      <c r="H80" s="90"/>
      <c r="I80" s="90"/>
      <c r="J80" s="90"/>
      <c r="K80" s="88"/>
      <c r="L80" s="88"/>
      <c r="M80" s="90"/>
      <c r="N80" s="90"/>
      <c r="O80" s="90"/>
      <c r="P80" s="90"/>
      <c r="Q80" s="90"/>
      <c r="R80" s="90"/>
      <c r="S80" s="90"/>
      <c r="T80" s="91"/>
      <c r="U80" s="91"/>
      <c r="V80" s="91"/>
      <c r="W80" s="91"/>
      <c r="X80" s="92"/>
      <c r="Y80" s="92"/>
      <c r="Z80" s="93"/>
      <c r="AA80" s="93"/>
      <c r="AB80" s="93"/>
      <c r="AC80" s="93"/>
      <c r="AD80" s="93"/>
      <c r="AE80" s="93"/>
      <c r="AF80" s="93"/>
      <c r="AG80" s="94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</row>
    <row r="81" spans="1:91" ht="19.5" thickBot="1" thickTop="1">
      <c r="A81" s="27">
        <v>163</v>
      </c>
      <c r="B81" s="28">
        <v>1</v>
      </c>
      <c r="C81" s="20">
        <v>15142</v>
      </c>
      <c r="D81" s="20" t="s">
        <v>25</v>
      </c>
      <c r="E81" s="20">
        <v>1</v>
      </c>
      <c r="F81" s="20" t="s">
        <v>54</v>
      </c>
      <c r="G81" s="33">
        <v>0</v>
      </c>
      <c r="H81" s="33">
        <v>1</v>
      </c>
      <c r="I81" s="20">
        <v>0</v>
      </c>
      <c r="J81" s="33">
        <v>1</v>
      </c>
      <c r="K81" s="18">
        <v>0</v>
      </c>
      <c r="L81" s="18">
        <v>3</v>
      </c>
      <c r="M81" s="18">
        <v>1</v>
      </c>
      <c r="N81" s="33">
        <v>1</v>
      </c>
      <c r="O81" s="33">
        <v>0</v>
      </c>
      <c r="P81" s="33">
        <v>1</v>
      </c>
      <c r="Q81" s="33">
        <v>0</v>
      </c>
      <c r="R81" s="33">
        <v>0</v>
      </c>
      <c r="S81" s="33">
        <v>1</v>
      </c>
      <c r="T81" s="30"/>
      <c r="U81" s="30">
        <f>634.75+105.76</f>
        <v>740.51</v>
      </c>
      <c r="V81" s="30">
        <f>5300+2500-U81</f>
        <v>7059.49</v>
      </c>
      <c r="W81" s="30"/>
      <c r="X81" s="30"/>
      <c r="Y81" s="30"/>
      <c r="Z81" s="65">
        <f>((T81*50%+U81*85%+V81)/L81)+W81</f>
        <v>2562.9745</v>
      </c>
      <c r="AA81" s="65">
        <f>IF(O81=1,Z81*30%,0)</f>
        <v>0</v>
      </c>
      <c r="AB81" s="65">
        <f>IF(K81=1,Z81*20%,0)</f>
        <v>0</v>
      </c>
      <c r="AC81" s="65">
        <f>IF(R81=1,Z81*10%,0)</f>
        <v>0</v>
      </c>
      <c r="AD81" s="65">
        <f>IF(S81=1,Z81*30%,0)</f>
        <v>768.89235</v>
      </c>
      <c r="AE81" s="65">
        <f>IF(I81=1,Z81*30%,0)</f>
        <v>0</v>
      </c>
      <c r="AF81" s="65">
        <f>Z81-AA81-AB81-AC81-AD81-AE81</f>
        <v>1794.0821499999997</v>
      </c>
      <c r="AG81" s="50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</row>
    <row r="82" spans="1:90" s="39" customFormat="1" ht="19.5" thickBot="1" thickTop="1">
      <c r="A82" s="27"/>
      <c r="B82" s="28"/>
      <c r="C82" s="20"/>
      <c r="D82" s="20"/>
      <c r="E82" s="20"/>
      <c r="F82" s="20"/>
      <c r="G82" s="28"/>
      <c r="H82" s="33"/>
      <c r="I82" s="33"/>
      <c r="J82" s="33"/>
      <c r="K82" s="28"/>
      <c r="L82" s="28"/>
      <c r="M82" s="33"/>
      <c r="N82" s="33"/>
      <c r="O82" s="33"/>
      <c r="P82" s="33"/>
      <c r="Q82" s="33"/>
      <c r="R82" s="33"/>
      <c r="S82" s="33"/>
      <c r="T82" s="34"/>
      <c r="U82" s="34"/>
      <c r="V82" s="34"/>
      <c r="W82" s="34"/>
      <c r="X82" s="63"/>
      <c r="Y82" s="63"/>
      <c r="Z82" s="65"/>
      <c r="AA82" s="65"/>
      <c r="AB82" s="65"/>
      <c r="AC82" s="65"/>
      <c r="AD82" s="65"/>
      <c r="AE82" s="65"/>
      <c r="AF82" s="65"/>
      <c r="AG82" s="18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</row>
    <row r="83" spans="1:90" s="39" customFormat="1" ht="19.5" thickBot="1" thickTop="1">
      <c r="A83" s="27"/>
      <c r="B83" s="28"/>
      <c r="C83" s="20"/>
      <c r="D83" s="20"/>
      <c r="E83" s="20"/>
      <c r="F83" s="20"/>
      <c r="G83" s="28"/>
      <c r="H83" s="33"/>
      <c r="I83" s="33"/>
      <c r="J83" s="33"/>
      <c r="K83" s="28"/>
      <c r="L83" s="28"/>
      <c r="M83" s="33"/>
      <c r="N83" s="33"/>
      <c r="O83" s="33"/>
      <c r="P83" s="33"/>
      <c r="Q83" s="33"/>
      <c r="R83" s="33"/>
      <c r="S83" s="33"/>
      <c r="T83" s="34"/>
      <c r="U83" s="34"/>
      <c r="V83" s="34"/>
      <c r="W83" s="34"/>
      <c r="X83" s="63"/>
      <c r="Y83" s="63"/>
      <c r="Z83" s="65"/>
      <c r="AA83" s="65"/>
      <c r="AB83" s="65"/>
      <c r="AC83" s="65"/>
      <c r="AD83" s="65"/>
      <c r="AE83" s="65"/>
      <c r="AF83" s="65"/>
      <c r="AG83" s="18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</row>
    <row r="84" ht="18.75" thickTop="1"/>
    <row r="85" spans="1:90" s="86" customFormat="1" ht="22.5" customHeight="1">
      <c r="A85" s="84"/>
      <c r="B85" s="77"/>
      <c r="C85" s="78"/>
      <c r="D85" s="79"/>
      <c r="E85" s="78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1"/>
      <c r="U85" s="81"/>
      <c r="V85" s="81"/>
      <c r="W85" s="81"/>
      <c r="X85" s="85"/>
      <c r="Y85" s="85"/>
      <c r="Z85" s="82"/>
      <c r="AA85" s="82"/>
      <c r="AB85" s="82"/>
      <c r="AC85" s="82"/>
      <c r="AD85" s="82"/>
      <c r="AE85" s="82"/>
      <c r="AF85" s="82"/>
      <c r="AG85" s="83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</row>
    <row r="86" spans="2:33" ht="18">
      <c r="B86" s="17"/>
      <c r="C86" s="69"/>
      <c r="D86" s="14"/>
      <c r="E86" s="14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2:33" ht="18">
      <c r="B87" s="17"/>
      <c r="C87" s="69"/>
      <c r="D87" s="14"/>
      <c r="E87" s="14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2:33" ht="18">
      <c r="B88" s="17"/>
      <c r="C88" s="69"/>
      <c r="D88" s="14"/>
      <c r="E88" s="14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2:33" ht="18">
      <c r="B89" s="17"/>
      <c r="C89" s="69"/>
      <c r="D89" s="14"/>
      <c r="E89" s="14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2:33" ht="18">
      <c r="B90" s="17"/>
      <c r="C90" s="69"/>
      <c r="D90" s="14"/>
      <c r="E90" s="14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2:33" ht="18">
      <c r="B91" s="17"/>
      <c r="C91" s="69"/>
      <c r="D91" s="14"/>
      <c r="E91" s="14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2:33" ht="18">
      <c r="B92" s="17"/>
      <c r="C92" s="69"/>
      <c r="D92" s="14"/>
      <c r="E92" s="14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2:33" ht="18">
      <c r="B93" s="17"/>
      <c r="C93" s="69"/>
      <c r="D93" s="14"/>
      <c r="E93" s="14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2:33" ht="18">
      <c r="B94" s="17"/>
      <c r="C94" s="69"/>
      <c r="D94" s="14"/>
      <c r="E94" s="14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2:33" ht="18">
      <c r="B95" s="17"/>
      <c r="C95" s="69"/>
      <c r="D95" s="14"/>
      <c r="E95" s="14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2:33" ht="18">
      <c r="B96" s="17"/>
      <c r="C96" s="69"/>
      <c r="D96" s="14"/>
      <c r="E96" s="14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2:33" ht="18">
      <c r="B97" s="17"/>
      <c r="C97" s="69"/>
      <c r="D97" s="14"/>
      <c r="E97" s="14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2:33" ht="18">
      <c r="B98" s="17"/>
      <c r="C98" s="69"/>
      <c r="D98" s="14"/>
      <c r="E98" s="14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spans="2:33" ht="18">
      <c r="B99" s="17"/>
      <c r="C99" s="69"/>
      <c r="D99" s="14"/>
      <c r="E99" s="14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2:33" ht="18">
      <c r="B100" s="17"/>
      <c r="C100" s="69"/>
      <c r="D100" s="14"/>
      <c r="E100" s="14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2:33" ht="18">
      <c r="B101" s="17"/>
      <c r="C101" s="69"/>
      <c r="D101" s="14"/>
      <c r="E101" s="14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spans="2:33" ht="18">
      <c r="B102" s="17"/>
      <c r="C102" s="69"/>
      <c r="D102" s="14"/>
      <c r="E102" s="14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2:33" ht="18">
      <c r="B103" s="17"/>
      <c r="C103" s="69"/>
      <c r="D103" s="14"/>
      <c r="E103" s="14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2:33" ht="18">
      <c r="B104" s="17"/>
      <c r="C104" s="69"/>
      <c r="D104" s="14"/>
      <c r="E104" s="14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2:33" ht="18">
      <c r="B105" s="17"/>
      <c r="C105" s="69"/>
      <c r="D105" s="14"/>
      <c r="E105" s="14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spans="2:33" ht="18">
      <c r="B106" s="17"/>
      <c r="C106" s="69"/>
      <c r="D106" s="14"/>
      <c r="E106" s="14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2:33" ht="18">
      <c r="B107" s="17"/>
      <c r="C107" s="69"/>
      <c r="D107" s="14"/>
      <c r="E107" s="14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 spans="2:33" ht="18">
      <c r="B108" s="17"/>
      <c r="C108" s="14"/>
      <c r="D108" s="14"/>
      <c r="E108" s="14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 spans="2:33" ht="18">
      <c r="B109" s="17"/>
      <c r="C109" s="14"/>
      <c r="D109" s="14"/>
      <c r="E109" s="14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</row>
    <row r="110" spans="2:33" ht="18">
      <c r="B110" s="17"/>
      <c r="C110" s="14"/>
      <c r="D110" s="14"/>
      <c r="E110" s="14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spans="2:33" ht="18">
      <c r="B111" s="17"/>
      <c r="C111" s="14"/>
      <c r="D111" s="14"/>
      <c r="E111" s="14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2:33" ht="18">
      <c r="B112" s="17"/>
      <c r="C112" s="14"/>
      <c r="D112" s="14"/>
      <c r="E112" s="14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2:33" ht="18">
      <c r="B113" s="17"/>
      <c r="C113" s="14"/>
      <c r="D113" s="14"/>
      <c r="E113" s="14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2:33" ht="18">
      <c r="B114" s="17"/>
      <c r="C114" s="14"/>
      <c r="D114" s="14"/>
      <c r="E114" s="14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spans="2:33" ht="18">
      <c r="B115" s="17"/>
      <c r="C115" s="14"/>
      <c r="D115" s="14"/>
      <c r="E115" s="14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spans="2:33" ht="18">
      <c r="B116" s="17"/>
      <c r="C116" s="14"/>
      <c r="D116" s="14"/>
      <c r="E116" s="14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spans="6:33" ht="18"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</row>
    <row r="118" spans="6:33" ht="18"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</row>
    <row r="119" spans="6:33" ht="18"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</row>
  </sheetData>
  <sheetProtection/>
  <autoFilter ref="A3:CM83"/>
  <mergeCells count="1">
    <mergeCell ref="C1:AH1"/>
  </mergeCells>
  <printOptions horizontalCentered="1"/>
  <pageMargins left="0.35433070866141736" right="0.35433070866141736" top="0.7874015748031497" bottom="0.7874015748031497" header="0.5905511811023623" footer="0.5118110236220472"/>
  <pageSetup fitToHeight="0" fitToWidth="0" horizontalDpi="600" verticalDpi="600" orientation="landscape" paperSize="9" scale="75" r:id="rId1"/>
  <headerFooter alignWithMargins="0">
    <oddHeader>&amp;LΤΜΗΜΑ ΣΠΟΥΔΑΣΤΙΚΗΣ ΜΕΡΙΜΝΑΣ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</dc:creator>
  <cp:keywords/>
  <dc:description/>
  <cp:lastModifiedBy>teiep</cp:lastModifiedBy>
  <cp:lastPrinted>2014-08-27T08:49:06Z</cp:lastPrinted>
  <dcterms:created xsi:type="dcterms:W3CDTF">2007-10-03T16:28:55Z</dcterms:created>
  <dcterms:modified xsi:type="dcterms:W3CDTF">2014-10-17T09:21:26Z</dcterms:modified>
  <cp:category/>
  <cp:version/>
  <cp:contentType/>
  <cp:contentStatus/>
</cp:coreProperties>
</file>